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416" windowWidth="13200" windowHeight="9870" tabRatio="823" activeTab="0"/>
  </bookViews>
  <sheets>
    <sheet name="Kfitting Calculation" sheetId="1" r:id="rId1"/>
    <sheet name="Line Sizing " sheetId="2" r:id="rId2"/>
    <sheet name="misc calcx" sheetId="3" r:id="rId3"/>
  </sheets>
  <externalReferences>
    <externalReference r:id="rId6"/>
  </externalReferences>
  <definedNames>
    <definedName name="ACFM">#REF!</definedName>
    <definedName name="Ap">#REF!</definedName>
    <definedName name="Ar">#REF!</definedName>
    <definedName name="Area">#REF!</definedName>
    <definedName name="Base">459.7</definedName>
    <definedName name="BHP" localSheetId="2">#REF!</definedName>
    <definedName name="BHP">#REF!</definedName>
    <definedName name="CFS" localSheetId="2">#REF!</definedName>
    <definedName name="CFS">#REF!</definedName>
    <definedName name="Clearance">#REF!</definedName>
    <definedName name="CMTD">#REF!</definedName>
    <definedName name="Comp_ratio">#REF!</definedName>
    <definedName name="Control_Valve_DP" localSheetId="2">#REF!</definedName>
    <definedName name="Control_Valve_DP">#REF!</definedName>
    <definedName name="cpcv">#REF!</definedName>
    <definedName name="crane_turb_f" localSheetId="0">'Kfitting Calculation'!$M$60:$M$85</definedName>
    <definedName name="crane_turb_f">#REF!</definedName>
    <definedName name="d">'[1]pipeline dp'!$B$4</definedName>
    <definedName name="Delivery_Pressure__Psia" localSheetId="2">#REF!</definedName>
    <definedName name="Delivery_Pressure__Psia">#REF!</definedName>
    <definedName name="Density" localSheetId="2">#REF!</definedName>
    <definedName name="Density">#REF!</definedName>
    <definedName name="Density_Disch" localSheetId="2">#REF!</definedName>
    <definedName name="Density_Disch">#REF!</definedName>
    <definedName name="Density_suct" localSheetId="2">#REF!</definedName>
    <definedName name="Density_suct">#REF!</definedName>
    <definedName name="Design_Factor" localSheetId="2">#REF!</definedName>
    <definedName name="Design_Factor">#REF!</definedName>
    <definedName name="Diameter" localSheetId="0">'Kfitting Calculation'!$C$60:$L$85</definedName>
    <definedName name="Diameter">#REF!</definedName>
    <definedName name="Disch_Elevation__Feet" localSheetId="2">#REF!</definedName>
    <definedName name="Disch_Elevation__Feet">#REF!</definedName>
    <definedName name="Disch_Press__psig" localSheetId="2">#REF!</definedName>
    <definedName name="Disch_Press__psig">#REF!</definedName>
    <definedName name="Discharge_Press__psia" localSheetId="2">#REF!</definedName>
    <definedName name="Discharge_Press__psia">#REF!</definedName>
    <definedName name="Disp">#REF!</definedName>
    <definedName name="DP" localSheetId="2">#REF!</definedName>
    <definedName name="DP">#REF!</definedName>
    <definedName name="DP__Ft" localSheetId="2">#REF!</definedName>
    <definedName name="DP__Ft">#REF!</definedName>
    <definedName name="DP__psia" localSheetId="2">#REF!</definedName>
    <definedName name="DP__psia">#REF!</definedName>
    <definedName name="Duty">#REF!</definedName>
    <definedName name="Eff" localSheetId="2">#REF!</definedName>
    <definedName name="Eff">#REF!</definedName>
    <definedName name="Elevation___Feet" localSheetId="2">#REF!</definedName>
    <definedName name="Elevation___Feet">#REF!</definedName>
    <definedName name="epsilon">'[1]pipeline dp'!$B$6</definedName>
    <definedName name="Exchangers_DP" localSheetId="2">#REF!</definedName>
    <definedName name="Exchangers_DP">#REF!</definedName>
    <definedName name="Ft">#REF!</definedName>
    <definedName name="GPM" localSheetId="2">#REF!</definedName>
    <definedName name="GPM">#REF!</definedName>
    <definedName name="Head">#REF!</definedName>
    <definedName name="HP" localSheetId="2">#REF!</definedName>
    <definedName name="HP">#REF!</definedName>
    <definedName name="Isen_eff">#REF!</definedName>
    <definedName name="Kcpcv">#REF!</definedName>
    <definedName name="Kvalue" localSheetId="2">#REF!</definedName>
    <definedName name="Kvalue">#REF!</definedName>
    <definedName name="LMTD">#REF!</definedName>
    <definedName name="M_LBpHr" localSheetId="2">#REF!</definedName>
    <definedName name="M_LBpHr">#REF!</definedName>
    <definedName name="Meters_DP" localSheetId="2">#REF!</definedName>
    <definedName name="Meters_DP">#REF!</definedName>
    <definedName name="MMSCFD">#REF!</definedName>
    <definedName name="Motor_Factor" localSheetId="2">#REF!</definedName>
    <definedName name="Motor_Factor">#REF!</definedName>
    <definedName name="Motor_Hp" localSheetId="2">#REF!</definedName>
    <definedName name="Motor_Hp">#REF!</definedName>
    <definedName name="Mw">#REF!</definedName>
    <definedName name="nominal_diameter" localSheetId="0">'Kfitting Calculation'!$C$60:$C$85</definedName>
    <definedName name="nominal_diameter">#REF!</definedName>
    <definedName name="NPSA__ft" localSheetId="2">#REF!</definedName>
    <definedName name="NPSA__ft">#REF!</definedName>
    <definedName name="NPSHA_Safety_Factor" localSheetId="2">#REF!</definedName>
    <definedName name="NPSHA_Safety_Factor">#REF!</definedName>
    <definedName name="offset" localSheetId="0">'Kfitting Calculation'!$P$61:$P$69</definedName>
    <definedName name="offset">#REF!</definedName>
    <definedName name="Orifice_dia">#REF!</definedName>
    <definedName name="P_1">#REF!</definedName>
    <definedName name="P_2">#REF!</definedName>
    <definedName name="Pd">#REF!</definedName>
    <definedName name="Pin" localSheetId="2">#REF!</definedName>
    <definedName name="Pin">#REF!</definedName>
    <definedName name="Pipe_dia">#REF!</definedName>
    <definedName name="pipe_id" localSheetId="0">'Kfitting Calculation'!$C$58:$L$85</definedName>
    <definedName name="pipe_id">#REF!</definedName>
    <definedName name="Piping_DP" localSheetId="2">#REF!</definedName>
    <definedName name="Piping_DP">#REF!</definedName>
    <definedName name="Piping_Loss" localSheetId="2">#REF!</definedName>
    <definedName name="Piping_Loss">#REF!</definedName>
    <definedName name="_xlnm.Print_Area" localSheetId="0">'Kfitting Calculation'!$A$1:$F$50</definedName>
    <definedName name="_xlnm.Print_Area" localSheetId="1">'Line Sizing '!$A$1:$C$42</definedName>
    <definedName name="_xlnm.Print_Area" localSheetId="2">'misc calcx'!$A$81:$E$96</definedName>
    <definedName name="_xlnm.Print_Titles" localSheetId="1">'Line Sizing '!$A:$A</definedName>
    <definedName name="Process_In">#REF!</definedName>
    <definedName name="Process_out">#REF!</definedName>
    <definedName name="Ps">#REF!</definedName>
    <definedName name="Pump_Elevation" localSheetId="2">#REF!</definedName>
    <definedName name="Pump_Elevation">#REF!</definedName>
    <definedName name="PVP__Psia" localSheetId="2">#REF!</definedName>
    <definedName name="PVP__Psia">#REF!</definedName>
    <definedName name="PVP__psig" localSheetId="2">#REF!</definedName>
    <definedName name="PVP__psig">#REF!</definedName>
    <definedName name="reducer_length" localSheetId="0">'Kfitting Calculation'!$N$60:$N$85</definedName>
    <definedName name="reducer_length">#REF!</definedName>
    <definedName name="rho_1">#REF!</definedName>
    <definedName name="rho_2">#REF!</definedName>
    <definedName name="Rho_suct">#REF!</definedName>
    <definedName name="Rhol" localSheetId="2">#REF!</definedName>
    <definedName name="Rhol">#REF!</definedName>
    <definedName name="Rhov" localSheetId="2">#REF!</definedName>
    <definedName name="Rhov">#REF!</definedName>
    <definedName name="Safety_DP" localSheetId="2">#REF!</definedName>
    <definedName name="Safety_DP">#REF!</definedName>
    <definedName name="schedule" localSheetId="0">'Kfitting Calculation'!$O$61:$O$69</definedName>
    <definedName name="schedule">#REF!</definedName>
    <definedName name="sg">'[1]pipeline dp'!$B$5</definedName>
    <definedName name="Source_Pres__Psia" localSheetId="2">#REF!</definedName>
    <definedName name="Source_Pres__Psia">#REF!</definedName>
    <definedName name="Source_Vessel_MAWP" localSheetId="2">#REF!</definedName>
    <definedName name="Source_Vessel_MAWP">#REF!</definedName>
    <definedName name="Suction_Pres__psia" localSheetId="2">#REF!</definedName>
    <definedName name="Suction_Pres__psia">#REF!</definedName>
    <definedName name="Suction_Pres__psig" localSheetId="2">#REF!</definedName>
    <definedName name="Suction_Pres__psig">#REF!</definedName>
    <definedName name="T_1">#REF!</definedName>
    <definedName name="T_2">#REF!</definedName>
    <definedName name="T_degF">#REF!</definedName>
    <definedName name="Td">#REF!</definedName>
    <definedName name="Ts">#REF!</definedName>
    <definedName name="Uallowable" localSheetId="2">#REF!</definedName>
    <definedName name="Uallowable">#REF!</definedName>
    <definedName name="Uoverall">#REF!</definedName>
    <definedName name="Utility_In">#REF!</definedName>
    <definedName name="Utility_Out">#REF!</definedName>
    <definedName name="Valve_losses">#REF!</definedName>
    <definedName name="VE">#REF!</definedName>
    <definedName name="Vel_1">#REF!</definedName>
    <definedName name="Vel_2">#REF!</definedName>
    <definedName name="W_Lb_Hr">#REF!</definedName>
    <definedName name="W_lb_min">#REF!</definedName>
    <definedName name="Z_1">#REF!</definedName>
    <definedName name="Z_2">#REF!</definedName>
    <definedName name="Zd">#REF!</definedName>
    <definedName name="Zs">#REF!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  <author>Robin Jentz</author>
  </authors>
  <commentList>
    <comment ref="A7" authorId="0">
      <text>
        <r>
          <rPr>
            <sz val="8"/>
            <rFont val="Tahoma"/>
            <family val="0"/>
          </rPr>
          <t xml:space="preserve">
Enter compressibility for gases or lb/ft³ for liquids.
</t>
        </r>
      </text>
    </comment>
    <comment ref="A9" authorId="0">
      <text>
        <r>
          <rPr>
            <sz val="8"/>
            <rFont val="Tahoma"/>
            <family val="0"/>
          </rPr>
          <t xml:space="preserve">enter:
gpm
bpd
lb/hr 
mmscfd
scfm
</t>
        </r>
      </text>
    </comment>
    <comment ref="A11" authorId="0">
      <text>
        <r>
          <rPr>
            <sz val="8"/>
            <rFont val="Tahoma"/>
            <family val="0"/>
          </rPr>
          <t xml:space="preserve">     ncalc = 1,2,3,4,5,6, 7, 8, 9
       = 1  fix node 2 calculate node 1
       = 2  fix node 1 calculate node 2
       = 3 calculate lbs/hr for given pressure drop
       = 4  fix node 2 calculate node 1
       = 5  fix node 1 calculate node 2
       = 6 calculate lbs/hr for given pressure drop
       = 7  fix node 2 calculate node 1 (adiabatic calc for gas)
       = 8  fix node 1 calculate node 2 (adiabatic calc for gas)
       = 9 calculate lbs/hr for given pressure drop (adiabatic calc for gas)
</t>
        </r>
      </text>
    </comment>
    <comment ref="A12" authorId="0">
      <text>
        <r>
          <rPr>
            <sz val="8"/>
            <rFont val="Tahoma"/>
            <family val="0"/>
          </rPr>
          <t>Cast Iron = 0.00085
Galvanized Iron= 0.0005
Asphalted Cast Iron = 0.0004
Commercial Steel or Wrought Iron = 0.00015
Drawn Tubing = 0.000005</t>
        </r>
      </text>
    </comment>
    <comment ref="A14" authorId="0">
      <text>
        <r>
          <rPr>
            <sz val="8"/>
            <rFont val="Tahoma"/>
            <family val="0"/>
          </rPr>
          <t xml:space="preserve">   nfrict= diameter to base friction calculation on ( 1 or 2 )</t>
        </r>
      </text>
    </comment>
    <comment ref="A15" authorId="0">
      <text>
        <r>
          <rPr>
            <sz val="8"/>
            <rFont val="Tahoma"/>
            <family val="0"/>
          </rPr>
          <t xml:space="preserve">  nfit  = diameter Kfit is based on ( 1 or 2 )</t>
        </r>
      </text>
    </comment>
    <comment ref="A5" authorId="1">
      <text>
        <r>
          <rPr>
            <b/>
            <sz val="8"/>
            <rFont val="Tahoma"/>
            <family val="0"/>
          </rPr>
          <t>For gases, not required for liquids</t>
        </r>
        <r>
          <rPr>
            <sz val="8"/>
            <rFont val="Tahoma"/>
            <family val="0"/>
          </rPr>
          <t xml:space="preserve">
</t>
        </r>
      </text>
    </comment>
    <comment ref="A6" authorId="1">
      <text>
        <r>
          <rPr>
            <sz val="8"/>
            <rFont val="Tahoma"/>
            <family val="2"/>
          </rPr>
          <t>For gases only, for the adiabatic calc this either T1 or T2 depending which Pressure is known.</t>
        </r>
        <r>
          <rPr>
            <sz val="8"/>
            <rFont val="Tahoma"/>
            <family val="0"/>
          </rPr>
          <t xml:space="preserve">
</t>
        </r>
      </text>
    </comment>
    <comment ref="A19" authorId="1">
      <text>
        <r>
          <rPr>
            <sz val="8"/>
            <rFont val="Tahoma"/>
            <family val="0"/>
          </rPr>
          <t xml:space="preserve">Z for outlet conditions (required for adiabatic calc)
</t>
        </r>
      </text>
    </comment>
    <comment ref="A20" authorId="1">
      <text>
        <r>
          <rPr>
            <sz val="8"/>
            <rFont val="Tahoma"/>
            <family val="2"/>
          </rPr>
          <t>required for adiabatic calc only. If you input 1 it will be the same as the isothermal calc</t>
        </r>
        <r>
          <rPr>
            <sz val="8"/>
            <rFont val="Tahoma"/>
            <family val="0"/>
          </rPr>
          <t xml:space="preserve">
</t>
        </r>
      </text>
    </comment>
    <comment ref="A21" authorId="1">
      <text>
        <r>
          <rPr>
            <sz val="8"/>
            <rFont val="Tahoma"/>
            <family val="0"/>
          </rPr>
          <t xml:space="preserve">enter "print" if you want print out on iterations
</t>
        </r>
      </text>
    </comment>
  </commentList>
</comments>
</file>

<file path=xl/sharedStrings.xml><?xml version="1.0" encoding="utf-8"?>
<sst xmlns="http://schemas.openxmlformats.org/spreadsheetml/2006/main" count="359" uniqueCount="196">
  <si>
    <t>tubing</t>
  </si>
  <si>
    <t>Sharp Pipe Entrance</t>
  </si>
  <si>
    <t>Gate Valve</t>
  </si>
  <si>
    <t>Ball Valve</t>
  </si>
  <si>
    <t>Butterfly Valve</t>
  </si>
  <si>
    <t>Plug Valve</t>
  </si>
  <si>
    <t>Swing Check Valve (flanged)</t>
  </si>
  <si>
    <t>Lift Check Valve (butt welded)</t>
  </si>
  <si>
    <t>Pipe Exit</t>
  </si>
  <si>
    <t>K</t>
  </si>
  <si>
    <t>Z</t>
  </si>
  <si>
    <t>Re</t>
  </si>
  <si>
    <t>Cp/Cv</t>
  </si>
  <si>
    <t>Nominal</t>
  </si>
  <si>
    <t>Pipe ID (in.) as a function of pipe schedule</t>
  </si>
  <si>
    <t>Turbulent</t>
  </si>
  <si>
    <t>Reducer</t>
  </si>
  <si>
    <t>Diameter</t>
  </si>
  <si>
    <t>STD</t>
  </si>
  <si>
    <t>XS</t>
  </si>
  <si>
    <t>f, Crane</t>
  </si>
  <si>
    <t>length, in</t>
  </si>
  <si>
    <t>-</t>
  </si>
  <si>
    <t>NONE</t>
  </si>
  <si>
    <t>MMSCFD</t>
  </si>
  <si>
    <t>Input</t>
  </si>
  <si>
    <t>Mw</t>
  </si>
  <si>
    <t>Output</t>
  </si>
  <si>
    <t>Disch Kd</t>
  </si>
  <si>
    <t>lb/hr</t>
  </si>
  <si>
    <t>Relief Pres</t>
  </si>
  <si>
    <t>T,°R</t>
  </si>
  <si>
    <t>Area, in2</t>
  </si>
  <si>
    <t xml:space="preserve">Coef </t>
  </si>
  <si>
    <t>Description</t>
  </si>
  <si>
    <t>viscosity, cp</t>
  </si>
  <si>
    <t>P1</t>
  </si>
  <si>
    <t>BPD</t>
  </si>
  <si>
    <t>Pres In, psia</t>
  </si>
  <si>
    <t>Pres Out, psia</t>
  </si>
  <si>
    <t>Temperature, °F</t>
  </si>
  <si>
    <t>Flowrate</t>
  </si>
  <si>
    <t>GPM</t>
  </si>
  <si>
    <t>ncalc</t>
  </si>
  <si>
    <t>pipe roughness, ft</t>
  </si>
  <si>
    <t>K, fittings</t>
  </si>
  <si>
    <t>N frict</t>
  </si>
  <si>
    <t>N fit</t>
  </si>
  <si>
    <t>Pipe Length, Ft</t>
  </si>
  <si>
    <t>Diameter (1), Inches</t>
  </si>
  <si>
    <t>Diameter (2), Inches</t>
  </si>
  <si>
    <t>dp, psia</t>
  </si>
  <si>
    <t>velocity head, psia</t>
  </si>
  <si>
    <t>frictional Dp, psia</t>
  </si>
  <si>
    <t>dp/100 feet, psia</t>
  </si>
  <si>
    <t>Velocity in, Ft/sec</t>
  </si>
  <si>
    <t>Velocity Out, Ft/sec</t>
  </si>
  <si>
    <r>
      <t>r</t>
    </r>
    <r>
      <rPr>
        <sz val="10"/>
        <rFont val="Maiandra GD"/>
        <family val="2"/>
      </rPr>
      <t xml:space="preserve"> in, lb/ft³</t>
    </r>
  </si>
  <si>
    <r>
      <t>r</t>
    </r>
    <r>
      <rPr>
        <sz val="10"/>
        <rFont val="Maiandra GD"/>
        <family val="2"/>
      </rPr>
      <t xml:space="preserve"> out, lb/ft³</t>
    </r>
  </si>
  <si>
    <t>Reynolds #</t>
  </si>
  <si>
    <t>Friction Factor (Darcy)</t>
  </si>
  <si>
    <r>
      <t>C=V sqrt (</t>
    </r>
    <r>
      <rPr>
        <sz val="10"/>
        <rFont val="Symbol"/>
        <family val="1"/>
      </rPr>
      <t>r</t>
    </r>
    <r>
      <rPr>
        <sz val="10"/>
        <rFont val="Maiandra GD"/>
        <family val="2"/>
      </rPr>
      <t>)</t>
    </r>
  </si>
  <si>
    <t xml:space="preserve">   vmw = lbs/lbmole</t>
  </si>
  <si>
    <t xml:space="preserve">   vlb = lbs/hr</t>
  </si>
  <si>
    <t xml:space="preserve">   viscos = viscosity, centipoise</t>
  </si>
  <si>
    <t xml:space="preserve">   z = compressibility for gases, lb/ft³ for liquids</t>
  </si>
  <si>
    <t xml:space="preserve">   ncalc = 1,2,3</t>
  </si>
  <si>
    <r>
      <t xml:space="preserve">       = 2  fix node 1 calculate node 2                    </t>
    </r>
    <r>
      <rPr>
        <sz val="10"/>
        <color indexed="10"/>
        <rFont val="Maiandra GD"/>
        <family val="2"/>
      </rPr>
      <t>(Gas)</t>
    </r>
  </si>
  <si>
    <r>
      <t xml:space="preserve">       = 3 calculate lbs/hr for given pressure drop    </t>
    </r>
    <r>
      <rPr>
        <sz val="10"/>
        <color indexed="10"/>
        <rFont val="Maiandra GD"/>
        <family val="2"/>
      </rPr>
      <t>(Gas)</t>
    </r>
  </si>
  <si>
    <r>
      <t xml:space="preserve">       = 4  fix node 2 calculate node 1                  </t>
    </r>
    <r>
      <rPr>
        <sz val="10"/>
        <color indexed="10"/>
        <rFont val="Maiandra GD"/>
        <family val="2"/>
      </rPr>
      <t xml:space="preserve"> (Liquids)</t>
    </r>
  </si>
  <si>
    <r>
      <t xml:space="preserve">       = 5  fix node 1 calculate node 2                   </t>
    </r>
    <r>
      <rPr>
        <sz val="10"/>
        <color indexed="10"/>
        <rFont val="Maiandra GD"/>
        <family val="2"/>
      </rPr>
      <t>(Liquids)</t>
    </r>
  </si>
  <si>
    <r>
      <t xml:space="preserve">       = 6 calculate lbs/hr for given pressure drop   </t>
    </r>
    <r>
      <rPr>
        <sz val="10"/>
        <color indexed="10"/>
        <rFont val="Maiandra GD"/>
        <family val="2"/>
      </rPr>
      <t>(Liquids)</t>
    </r>
  </si>
  <si>
    <t xml:space="preserve">   t1   = temperature at node 1</t>
  </si>
  <si>
    <t xml:space="preserve">   rough = pipe roughness, ft</t>
  </si>
  <si>
    <t xml:space="preserve">   kfit = k values for fitting</t>
  </si>
  <si>
    <t xml:space="preserve">   p2 = pressure at node 2, psia</t>
  </si>
  <si>
    <t xml:space="preserve">   p1 = pressure at node 1</t>
  </si>
  <si>
    <t xml:space="preserve">   nfrict= diameter to base friction calculation on ( 1 or 2 )</t>
  </si>
  <si>
    <t xml:space="preserve">   nfit  = diameter Kfit is based on ( 1 or 2 )</t>
  </si>
  <si>
    <t xml:space="preserve">   length  = feet</t>
  </si>
  <si>
    <t xml:space="preserve">   d1      = diameter 1, inches</t>
  </si>
  <si>
    <t xml:space="preserve">   d2      = diameter 2, inches</t>
  </si>
  <si>
    <t>Feed</t>
  </si>
  <si>
    <t>Q, GPM</t>
  </si>
  <si>
    <t>Sg</t>
  </si>
  <si>
    <t>CV</t>
  </si>
  <si>
    <t>Valve Size</t>
  </si>
  <si>
    <t>C1</t>
  </si>
  <si>
    <t>dp</t>
  </si>
  <si>
    <t xml:space="preserve"> </t>
  </si>
  <si>
    <t>T</t>
  </si>
  <si>
    <t>Tr</t>
  </si>
  <si>
    <t>Liquid Relief</t>
  </si>
  <si>
    <t>Set Pres, psig</t>
  </si>
  <si>
    <t>Relief Pres, psia</t>
  </si>
  <si>
    <t>sg</t>
  </si>
  <si>
    <t>relief Header, psia</t>
  </si>
  <si>
    <t>Gas Relief</t>
  </si>
  <si>
    <t>Z1, compressibility</t>
  </si>
  <si>
    <t>cpcv</t>
  </si>
  <si>
    <t>T2</t>
  </si>
  <si>
    <t>T1</t>
  </si>
  <si>
    <t>Units for flowrate</t>
  </si>
  <si>
    <t>P2</t>
  </si>
  <si>
    <t>solved</t>
  </si>
  <si>
    <t>z2, compressibility</t>
  </si>
  <si>
    <t>P1, Stagnation Pressure</t>
  </si>
  <si>
    <t>P2, Stagnation Pressure</t>
  </si>
  <si>
    <t>Sonic(1)</t>
  </si>
  <si>
    <t>Sonic(2)</t>
  </si>
  <si>
    <r>
      <t xml:space="preserve">       = 7  fix node 2 calculate node 1                     </t>
    </r>
    <r>
      <rPr>
        <sz val="10"/>
        <color indexed="10"/>
        <rFont val="Maiandra GD"/>
        <family val="2"/>
      </rPr>
      <t>(Adiabatic Gas)</t>
    </r>
  </si>
  <si>
    <r>
      <t xml:space="preserve">       = 8  fix node 1 calculate node 2                    </t>
    </r>
    <r>
      <rPr>
        <sz val="10"/>
        <color indexed="10"/>
        <rFont val="Maiandra GD"/>
        <family val="2"/>
      </rPr>
      <t>(Adiabatic Gas)</t>
    </r>
  </si>
  <si>
    <r>
      <t xml:space="preserve">       = 9 calculate lbs/hr for given pressure drop    </t>
    </r>
    <r>
      <rPr>
        <sz val="10"/>
        <color indexed="10"/>
        <rFont val="Maiandra GD"/>
        <family val="2"/>
      </rPr>
      <t>(Adiabatic Gas)</t>
    </r>
  </si>
  <si>
    <t>Orifice</t>
  </si>
  <si>
    <t>4P6 (6.38 in²)</t>
  </si>
  <si>
    <t>6R8 (16 in²)</t>
  </si>
  <si>
    <t>8T10 (26 in²)</t>
  </si>
  <si>
    <t>gpm</t>
  </si>
  <si>
    <t xml:space="preserve">       = 1  fix node 2 calculate node 1                     (Gas)</t>
  </si>
  <si>
    <t>dia, inches</t>
  </si>
  <si>
    <t>Units</t>
  </si>
  <si>
    <t>Tilting disk check valve</t>
  </si>
  <si>
    <t>Globe, Standard</t>
  </si>
  <si>
    <t>Globe, angle or Y type</t>
  </si>
  <si>
    <t>Diaphragm, dam type</t>
  </si>
  <si>
    <t>Standard, R/D=1, screwed</t>
  </si>
  <si>
    <t>Standard, R/D=1, flanged, welded</t>
  </si>
  <si>
    <t>Long Radius, R/D=1.5, all types</t>
  </si>
  <si>
    <t>1 Weld, 90° angle</t>
  </si>
  <si>
    <t>2 Weld,45° angle</t>
  </si>
  <si>
    <t>3 Weld,30° angle</t>
  </si>
  <si>
    <t>4 Weld, 22.5° angle</t>
  </si>
  <si>
    <t>5 Weld, 18° angle</t>
  </si>
  <si>
    <t>Mitered Elbows, R/D = 1.5)</t>
  </si>
  <si>
    <t>90° Elbows</t>
  </si>
  <si>
    <t>45° Elbows</t>
  </si>
  <si>
    <t>180° Elbow</t>
  </si>
  <si>
    <t>Stub in Type branch</t>
  </si>
  <si>
    <t>Standard, screwed</t>
  </si>
  <si>
    <t>Long Radius, screwed</t>
  </si>
  <si>
    <t>Standard, flanged, welded</t>
  </si>
  <si>
    <t>Screwed</t>
  </si>
  <si>
    <t>Flanged or welded</t>
  </si>
  <si>
    <t>Tees, Used as Elbow</t>
  </si>
  <si>
    <t>Tees, Run Through tee</t>
  </si>
  <si>
    <t>Valves</t>
  </si>
  <si>
    <t xml:space="preserve">Check </t>
  </si>
  <si>
    <t xml:space="preserve">Total K value </t>
  </si>
  <si>
    <t>K value</t>
  </si>
  <si>
    <t>Qty</t>
  </si>
  <si>
    <t>density, Lb/Ft³</t>
  </si>
  <si>
    <t>Reducer , size</t>
  </si>
  <si>
    <t xml:space="preserve"> angle</t>
  </si>
  <si>
    <t>Expander, size</t>
  </si>
  <si>
    <t xml:space="preserve">control valve with known cv </t>
  </si>
  <si>
    <t>Cg</t>
  </si>
  <si>
    <t xml:space="preserve">3rd Sidecut Btms 
with design flowrate </t>
  </si>
  <si>
    <t>Pipe diameter</t>
  </si>
  <si>
    <t>orifice diameter</t>
  </si>
  <si>
    <t>density, lb/ft³</t>
  </si>
  <si>
    <t>c</t>
  </si>
  <si>
    <t>beta</t>
  </si>
  <si>
    <t>hw, inches wc.</t>
  </si>
  <si>
    <t>R.O.</t>
  </si>
  <si>
    <t>dp, psi</t>
  </si>
  <si>
    <t>area, in²</t>
  </si>
  <si>
    <t>orifice velocity, ft/sec</t>
  </si>
  <si>
    <t>Liquid flowmeter calcs</t>
  </si>
  <si>
    <t>90°</t>
  </si>
  <si>
    <t>60°</t>
  </si>
  <si>
    <t>DP, psi</t>
  </si>
  <si>
    <t>Motive Relief</t>
  </si>
  <si>
    <t>cv to K value calc</t>
  </si>
  <si>
    <t>cv</t>
  </si>
  <si>
    <t>line size</t>
  </si>
  <si>
    <t>K to CV calc</t>
  </si>
  <si>
    <t xml:space="preserve">K  </t>
  </si>
  <si>
    <t>Control Valve</t>
  </si>
  <si>
    <t xml:space="preserve">convert K based </t>
  </si>
  <si>
    <t>on diameter</t>
  </si>
  <si>
    <t>K1</t>
  </si>
  <si>
    <t>D1</t>
  </si>
  <si>
    <t>K2</t>
  </si>
  <si>
    <t>D2</t>
  </si>
  <si>
    <t>Valve Flow</t>
  </si>
  <si>
    <t>Cv</t>
  </si>
  <si>
    <t>Q, MMSCFD</t>
  </si>
  <si>
    <t>Sin Argument</t>
  </si>
  <si>
    <t>Sin Argument, Degrees</t>
  </si>
  <si>
    <t>4 inch ED</t>
  </si>
  <si>
    <t>Liquid</t>
  </si>
  <si>
    <t>Gas</t>
  </si>
  <si>
    <t>Fisher Valves</t>
  </si>
  <si>
    <t>2 inch cv</t>
  </si>
  <si>
    <t>1.5 inch cv</t>
  </si>
  <si>
    <t>mmscfd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</si>
</sst>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E+00"/>
    <numFmt numFmtId="168" formatCode="0.0000"/>
    <numFmt numFmtId="169" formatCode="#,##0.000"/>
    <numFmt numFmtId="170" formatCode="0.000,,"/>
    <numFmt numFmtId="171" formatCode="0.00,,"/>
    <numFmt numFmtId="172" formatCode="&quot;$&quot;#,##0.000"/>
    <numFmt numFmtId="173" formatCode="0.000000000000000"/>
    <numFmt numFmtId="174" formatCode="0.E+00"/>
    <numFmt numFmtId="175" formatCode="_-&quot;$&quot;* #,##0_-;\-&quot;$&quot;* #,##0_-;_-&quot;$&quot;* &quot;-&quot;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* #,##0.00_-;\-* #,##0.00_-;_-* &quot;-&quot;??_-;_-@_-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m\-d\-yy"/>
    <numFmt numFmtId="184" formatCode="m\-d\-yy\ h:mm"/>
    <numFmt numFmtId="185" formatCode="0\ \ \ "/>
    <numFmt numFmtId="186" formatCode="0\ \ \ \ "/>
    <numFmt numFmtId="187" formatCode="0\ \ \ \ \ "/>
    <numFmt numFmtId="188" formatCode="0.00\ "/>
    <numFmt numFmtId="189" formatCode="0.0\ "/>
    <numFmt numFmtId="190" formatCode="0.0\ \ "/>
    <numFmt numFmtId="191" formatCode="0\ \ \ \ \ \ "/>
    <numFmt numFmtId="192" formatCode="0\ \ \ \ \ \ \ "/>
    <numFmt numFmtId="193" formatCode="0\ \ \ \ \ \ \ \ "/>
    <numFmt numFmtId="194" formatCode="0.#\ \ \ \ \ "/>
    <numFmt numFmtId="195" formatCode="General\ \ \ \ \ "/>
    <numFmt numFmtId="196" formatCode="General\ \ \ \ "/>
    <numFmt numFmtId="197" formatCode="0\ \ "/>
    <numFmt numFmtId="198" formatCode="General\ \ \ "/>
    <numFmt numFmtId="199" formatCode="General\ \ "/>
    <numFmt numFmtId="200" formatCode="General\ "/>
    <numFmt numFmtId="201" formatCode="#,##0.0000"/>
    <numFmt numFmtId="202" formatCode="0.00000000"/>
    <numFmt numFmtId="203" formatCode="0.0000000"/>
    <numFmt numFmtId="204" formatCode="0.000000"/>
    <numFmt numFmtId="205" formatCode="#,##0.0"/>
    <numFmt numFmtId="206" formatCode="0.0000E+00"/>
    <numFmt numFmtId="207" formatCode="0.00000E+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17">
    <font>
      <sz val="10"/>
      <name val="Arial"/>
      <family val="0"/>
    </font>
    <font>
      <sz val="10"/>
      <name val="Maiandra GD"/>
      <family val="2"/>
    </font>
    <font>
      <sz val="10"/>
      <color indexed="10"/>
      <name val="Maiandra GD"/>
      <family val="2"/>
    </font>
    <font>
      <sz val="10"/>
      <color indexed="8"/>
      <name val="Maiandra GD"/>
      <family val="0"/>
    </font>
    <font>
      <sz val="10"/>
      <name val="Symbol"/>
      <family val="1"/>
    </font>
    <font>
      <sz val="8"/>
      <name val="Tahom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11"/>
      <color indexed="8"/>
      <name val="Maiandra GD"/>
      <family val="0"/>
    </font>
    <font>
      <sz val="10"/>
      <color indexed="8"/>
      <name val="Symbol"/>
      <family val="1"/>
    </font>
    <font>
      <u val="single"/>
      <sz val="10"/>
      <color indexed="36"/>
      <name val="Arial"/>
      <family val="0"/>
    </font>
    <font>
      <sz val="11"/>
      <color indexed="10"/>
      <name val="Maiandra GD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165" fontId="1" fillId="0" borderId="4" xfId="0" applyNumberFormat="1" applyFont="1" applyBorder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3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21" applyFont="1" applyAlignment="1">
      <alignment horizontal="centerContinuous"/>
      <protection/>
    </xf>
    <xf numFmtId="0" fontId="8" fillId="0" borderId="0" xfId="21" applyFont="1" applyAlignment="1">
      <alignment horizontal="left"/>
      <protection/>
    </xf>
    <xf numFmtId="0" fontId="7" fillId="0" borderId="0" xfId="21">
      <alignment/>
      <protection/>
    </xf>
    <xf numFmtId="0" fontId="7" fillId="0" borderId="0" xfId="21" applyAlignment="1">
      <alignment horizontal="centerContinuous"/>
      <protection/>
    </xf>
    <xf numFmtId="0" fontId="7" fillId="0" borderId="0" xfId="21" applyAlignment="1">
      <alignment horizontal="left"/>
      <protection/>
    </xf>
    <xf numFmtId="0" fontId="7" fillId="0" borderId="0" xfId="21" applyAlignment="1">
      <alignment horizontal="center"/>
      <protection/>
    </xf>
    <xf numFmtId="0" fontId="7" fillId="0" borderId="0" xfId="21" applyBorder="1" applyAlignment="1">
      <alignment horizontal="center"/>
      <protection/>
    </xf>
    <xf numFmtId="2" fontId="7" fillId="0" borderId="0" xfId="21" applyNumberFormat="1" applyAlignment="1">
      <alignment horizontal="center"/>
      <protection/>
    </xf>
    <xf numFmtId="1" fontId="7" fillId="0" borderId="0" xfId="21" applyNumberFormat="1" applyAlignment="1">
      <alignment horizontal="center"/>
      <protection/>
    </xf>
    <xf numFmtId="165" fontId="7" fillId="0" borderId="0" xfId="21" applyNumberFormat="1" applyAlignment="1">
      <alignment horizontal="center"/>
      <protection/>
    </xf>
    <xf numFmtId="165" fontId="7" fillId="0" borderId="0" xfId="21" applyNumberFormat="1">
      <alignment/>
      <protection/>
    </xf>
    <xf numFmtId="1" fontId="7" fillId="0" borderId="0" xfId="21" applyNumberFormat="1">
      <alignment/>
      <protection/>
    </xf>
    <xf numFmtId="2" fontId="7" fillId="0" borderId="0" xfId="21" applyNumberFormat="1">
      <alignment/>
      <protection/>
    </xf>
    <xf numFmtId="164" fontId="7" fillId="0" borderId="0" xfId="21" applyNumberFormat="1">
      <alignment/>
      <protection/>
    </xf>
    <xf numFmtId="2" fontId="7" fillId="0" borderId="0" xfId="21" applyNumberFormat="1" applyAlignment="1">
      <alignment horizontal="centerContinuous"/>
      <protection/>
    </xf>
    <xf numFmtId="166" fontId="7" fillId="0" borderId="0" xfId="21" applyNumberFormat="1">
      <alignment/>
      <protection/>
    </xf>
    <xf numFmtId="0" fontId="0" fillId="0" borderId="0" xfId="0" applyFont="1" applyAlignment="1">
      <alignment horizontal="centerContinuous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8" fontId="0" fillId="0" borderId="0" xfId="0" applyNumberFormat="1" applyAlignment="1">
      <alignment/>
    </xf>
    <xf numFmtId="0" fontId="2" fillId="2" borderId="6" xfId="0" applyFont="1" applyFill="1" applyBorder="1" applyAlignment="1">
      <alignment/>
    </xf>
    <xf numFmtId="165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/>
    </xf>
    <xf numFmtId="0" fontId="1" fillId="0" borderId="6" xfId="0" applyFont="1" applyBorder="1" applyAlignment="1">
      <alignment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14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" fontId="3" fillId="0" borderId="3" xfId="0" applyNumberFormat="1" applyFont="1" applyBorder="1" applyAlignment="1">
      <alignment/>
    </xf>
    <xf numFmtId="166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21" applyFont="1">
      <alignment/>
      <protection/>
    </xf>
    <xf numFmtId="0" fontId="7" fillId="0" borderId="5" xfId="21" applyFont="1" applyBorder="1">
      <alignment/>
      <protection/>
    </xf>
    <xf numFmtId="0" fontId="7" fillId="0" borderId="8" xfId="21" applyFont="1" applyBorder="1">
      <alignment/>
      <protection/>
    </xf>
    <xf numFmtId="0" fontId="7" fillId="0" borderId="3" xfId="21" applyBorder="1">
      <alignment/>
      <protection/>
    </xf>
    <xf numFmtId="0" fontId="7" fillId="0" borderId="9" xfId="21" applyFont="1" applyBorder="1">
      <alignment/>
      <protection/>
    </xf>
    <xf numFmtId="0" fontId="7" fillId="0" borderId="10" xfId="21" applyBorder="1">
      <alignment/>
      <protection/>
    </xf>
    <xf numFmtId="0" fontId="7" fillId="0" borderId="11" xfId="21" applyFont="1" applyBorder="1">
      <alignment/>
      <protection/>
    </xf>
    <xf numFmtId="0" fontId="7" fillId="0" borderId="0" xfId="21" applyBorder="1">
      <alignment/>
      <protection/>
    </xf>
    <xf numFmtId="0" fontId="7" fillId="0" borderId="5" xfId="21" applyBorder="1">
      <alignment/>
      <protection/>
    </xf>
    <xf numFmtId="0" fontId="7" fillId="0" borderId="8" xfId="21" applyBorder="1">
      <alignment/>
      <protection/>
    </xf>
    <xf numFmtId="0" fontId="7" fillId="0" borderId="9" xfId="21" applyBorder="1">
      <alignment/>
      <protection/>
    </xf>
    <xf numFmtId="0" fontId="7" fillId="0" borderId="11" xfId="21" applyBorder="1">
      <alignment/>
      <protection/>
    </xf>
    <xf numFmtId="0" fontId="7" fillId="0" borderId="5" xfId="21" applyFont="1" applyBorder="1" applyAlignment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7" fillId="0" borderId="10" xfId="21" applyFont="1" applyBorder="1" applyAlignment="1">
      <alignment horizontal="center"/>
      <protection/>
    </xf>
    <xf numFmtId="0" fontId="7" fillId="0" borderId="8" xfId="21" applyFont="1" applyBorder="1" applyAlignment="1">
      <alignment horizontal="left"/>
      <protection/>
    </xf>
    <xf numFmtId="0" fontId="3" fillId="2" borderId="0" xfId="0" applyFont="1" applyFill="1" applyBorder="1" applyAlignment="1">
      <alignment/>
    </xf>
    <xf numFmtId="165" fontId="16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201" fontId="3" fillId="0" borderId="2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0" fontId="7" fillId="0" borderId="5" xfId="21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5" xfId="21" applyFont="1" applyBorder="1" applyAlignment="1">
      <alignment horizontal="center"/>
      <protection/>
    </xf>
    <xf numFmtId="0" fontId="8" fillId="0" borderId="8" xfId="21" applyFont="1" applyBorder="1" applyAlignment="1">
      <alignment horizontal="center"/>
      <protection/>
    </xf>
    <xf numFmtId="0" fontId="8" fillId="0" borderId="12" xfId="21" applyFont="1" applyBorder="1" applyAlignment="1">
      <alignment horizontal="centerContinuous"/>
      <protection/>
    </xf>
    <xf numFmtId="0" fontId="8" fillId="0" borderId="13" xfId="21" applyFont="1" applyBorder="1" applyAlignment="1">
      <alignment horizontal="centerContinuous"/>
      <protection/>
    </xf>
    <xf numFmtId="0" fontId="8" fillId="0" borderId="8" xfId="21" applyFont="1" applyBorder="1" applyAlignment="1">
      <alignment horizontal="centerContinuous"/>
      <protection/>
    </xf>
    <xf numFmtId="0" fontId="8" fillId="0" borderId="5" xfId="21" applyFont="1" applyBorder="1" applyAlignment="1">
      <alignment horizontal="centerContinuous"/>
      <protection/>
    </xf>
    <xf numFmtId="0" fontId="8" fillId="0" borderId="14" xfId="21" applyFont="1" applyBorder="1" applyAlignment="1">
      <alignment horizontal="centerContinuous"/>
      <protection/>
    </xf>
    <xf numFmtId="0" fontId="8" fillId="0" borderId="3" xfId="21" applyFont="1" applyBorder="1" applyAlignment="1">
      <alignment horizontal="centerContinuous"/>
      <protection/>
    </xf>
    <xf numFmtId="0" fontId="8" fillId="0" borderId="9" xfId="21" applyFont="1" applyBorder="1" applyAlignment="1">
      <alignment horizontal="centerContinuous"/>
      <protection/>
    </xf>
    <xf numFmtId="0" fontId="8" fillId="0" borderId="0" xfId="21" applyFont="1" applyBorder="1" applyAlignment="1">
      <alignment horizontal="centerContinuous"/>
      <protection/>
    </xf>
    <xf numFmtId="0" fontId="7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Continuous"/>
      <protection/>
    </xf>
    <xf numFmtId="0" fontId="7" fillId="0" borderId="3" xfId="21" applyBorder="1" applyAlignment="1">
      <alignment horizontal="center"/>
      <protection/>
    </xf>
    <xf numFmtId="0" fontId="7" fillId="0" borderId="9" xfId="21" applyBorder="1" applyAlignment="1">
      <alignment horizontal="centerContinuous"/>
      <protection/>
    </xf>
    <xf numFmtId="0" fontId="7" fillId="0" borderId="0" xfId="21" applyBorder="1" applyAlignment="1">
      <alignment horizontal="centerContinuous"/>
      <protection/>
    </xf>
    <xf numFmtId="0" fontId="7" fillId="0" borderId="15" xfId="21" applyBorder="1" applyAlignment="1">
      <alignment horizontal="center"/>
      <protection/>
    </xf>
    <xf numFmtId="0" fontId="7" fillId="0" borderId="16" xfId="21" applyBorder="1" applyAlignment="1">
      <alignment horizontal="centerContinuous"/>
      <protection/>
    </xf>
    <xf numFmtId="0" fontId="7" fillId="0" borderId="16" xfId="21" applyBorder="1">
      <alignment/>
      <protection/>
    </xf>
    <xf numFmtId="0" fontId="7" fillId="0" borderId="9" xfId="21" applyBorder="1" applyAlignment="1">
      <alignment horizontal="center"/>
      <protection/>
    </xf>
    <xf numFmtId="0" fontId="7" fillId="0" borderId="16" xfId="21" applyBorder="1" applyAlignment="1">
      <alignment horizontal="center"/>
      <protection/>
    </xf>
    <xf numFmtId="2" fontId="7" fillId="0" borderId="9" xfId="21" applyNumberFormat="1" applyBorder="1" applyAlignment="1">
      <alignment horizontal="center"/>
      <protection/>
    </xf>
    <xf numFmtId="0" fontId="7" fillId="0" borderId="0" xfId="21" applyFont="1" applyBorder="1">
      <alignment/>
      <protection/>
    </xf>
    <xf numFmtId="2" fontId="7" fillId="0" borderId="0" xfId="21" applyNumberFormat="1" applyBorder="1" applyAlignment="1">
      <alignment horizontal="center"/>
      <protection/>
    </xf>
    <xf numFmtId="1" fontId="7" fillId="0" borderId="3" xfId="21" applyNumberFormat="1" applyBorder="1" applyAlignment="1">
      <alignment horizontal="center"/>
      <protection/>
    </xf>
    <xf numFmtId="0" fontId="7" fillId="0" borderId="3" xfId="21" applyBorder="1" applyAlignment="1">
      <alignment horizontal="centerContinuous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_drop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57150</xdr:rowOff>
    </xdr:from>
    <xdr:to>
      <xdr:col>1</xdr:col>
      <xdr:colOff>1085850</xdr:colOff>
      <xdr:row>0</xdr:row>
      <xdr:rowOff>428625</xdr:rowOff>
    </xdr:to>
    <xdr:sp macro="[0]!Kfitting">
      <xdr:nvSpPr>
        <xdr:cNvPr id="1" name="AutoShape 2"/>
        <xdr:cNvSpPr>
          <a:spLocks/>
        </xdr:cNvSpPr>
      </xdr:nvSpPr>
      <xdr:spPr>
        <a:xfrm>
          <a:off x="771525" y="57150"/>
          <a:ext cx="923925" cy="371475"/>
        </a:xfrm>
        <a:prstGeom prst="rect"/>
        <a:noFill/>
      </xdr:spPr>
      <xdr:txBody>
        <a:bodyPr fromWordArt="1" wrap="none">
          <a:prstTxWarp prst="textDeflate">
            <a:avLst>
              <a:gd name="adj1" fmla="val 26226"/>
              <a:gd name="adj2" fmla="val 5000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Calculate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</xdr:rowOff>
    </xdr:from>
    <xdr:to>
      <xdr:col>0</xdr:col>
      <xdr:colOff>1085850</xdr:colOff>
      <xdr:row>0</xdr:row>
      <xdr:rowOff>428625</xdr:rowOff>
    </xdr:to>
    <xdr:sp macro="[0]!DeltaPi">
      <xdr:nvSpPr>
        <xdr:cNvPr id="1" name="AutoShape 7"/>
        <xdr:cNvSpPr>
          <a:spLocks/>
        </xdr:cNvSpPr>
      </xdr:nvSpPr>
      <xdr:spPr>
        <a:xfrm>
          <a:off x="161925" y="57150"/>
          <a:ext cx="923925" cy="371475"/>
        </a:xfrm>
        <a:prstGeom prst="rect"/>
        <a:noFill/>
      </xdr:spPr>
      <xdr:txBody>
        <a:bodyPr fromWordArt="1" wrap="none">
          <a:prstTxWarp prst="textDeflate">
            <a:avLst>
              <a:gd name="adj1" fmla="val 26226"/>
              <a:gd name="adj2" fmla="val 5000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Calculate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" name="Line 8"/>
        <xdr:cNvSpPr>
          <a:spLocks/>
        </xdr:cNvSpPr>
      </xdr:nvSpPr>
      <xdr:spPr>
        <a:xfrm>
          <a:off x="1752600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123825</xdr:rowOff>
    </xdr:from>
    <xdr:to>
      <xdr:col>1</xdr:col>
      <xdr:colOff>0</xdr:colOff>
      <xdr:row>71</xdr:row>
      <xdr:rowOff>28575</xdr:rowOff>
    </xdr:to>
    <xdr:sp>
      <xdr:nvSpPr>
        <xdr:cNvPr id="3" name="AutoShape 9"/>
        <xdr:cNvSpPr>
          <a:spLocks/>
        </xdr:cNvSpPr>
      </xdr:nvSpPr>
      <xdr:spPr>
        <a:xfrm rot="5400000" flipV="1">
          <a:off x="1752600" y="12030075"/>
          <a:ext cx="0" cy="66675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4" name="Line 17"/>
        <xdr:cNvSpPr>
          <a:spLocks/>
        </xdr:cNvSpPr>
      </xdr:nvSpPr>
      <xdr:spPr>
        <a:xfrm>
          <a:off x="2533650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70</xdr:row>
      <xdr:rowOff>123825</xdr:rowOff>
    </xdr:from>
    <xdr:to>
      <xdr:col>2</xdr:col>
      <xdr:colOff>0</xdr:colOff>
      <xdr:row>71</xdr:row>
      <xdr:rowOff>28575</xdr:rowOff>
    </xdr:to>
    <xdr:sp>
      <xdr:nvSpPr>
        <xdr:cNvPr id="5" name="AutoShape 18"/>
        <xdr:cNvSpPr>
          <a:spLocks/>
        </xdr:cNvSpPr>
      </xdr:nvSpPr>
      <xdr:spPr>
        <a:xfrm rot="5400000" flipV="1">
          <a:off x="2533650" y="12030075"/>
          <a:ext cx="0" cy="66675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EXCEL\friction%20fa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peline dp"/>
      <sheetName val="Sheet1"/>
      <sheetName val="Moody Char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4">
          <cell r="B4">
            <v>20</v>
          </cell>
        </row>
        <row r="5">
          <cell r="B5">
            <v>0.7</v>
          </cell>
        </row>
        <row r="6">
          <cell r="B6">
            <v>0.0006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Z85"/>
  <sheetViews>
    <sheetView tabSelected="1" workbookViewId="0" topLeftCell="B1">
      <selection activeCell="L31" sqref="L31"/>
    </sheetView>
  </sheetViews>
  <sheetFormatPr defaultColWidth="9.140625" defaultRowHeight="12.75"/>
  <cols>
    <col min="1" max="1" width="9.140625" style="27" customWidth="1"/>
    <col min="2" max="2" width="28.421875" style="27" customWidth="1"/>
    <col min="3" max="3" width="7.421875" style="27" customWidth="1"/>
    <col min="4" max="4" width="6.28125" style="27" customWidth="1"/>
    <col min="5" max="5" width="7.7109375" style="27" customWidth="1"/>
    <col min="6" max="8" width="6.8515625" style="27" customWidth="1"/>
    <col min="9" max="9" width="8.421875" style="27" customWidth="1"/>
    <col min="10" max="11" width="7.7109375" style="27" customWidth="1"/>
    <col min="12" max="12" width="6.8515625" style="27" customWidth="1"/>
    <col min="13" max="19" width="8.421875" style="27" customWidth="1"/>
    <col min="20" max="20" width="7.140625" style="27" customWidth="1"/>
    <col min="21" max="21" width="9.8515625" style="27" customWidth="1"/>
    <col min="22" max="16384" width="7.140625" style="27" customWidth="1"/>
  </cols>
  <sheetData>
    <row r="1" spans="2:14" ht="38.25" customHeight="1">
      <c r="B1" s="26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</row>
    <row r="2" spans="2:26" ht="11.25">
      <c r="B2" s="26"/>
      <c r="C2" s="100" t="s">
        <v>149</v>
      </c>
      <c r="D2" s="101" t="s">
        <v>148</v>
      </c>
      <c r="E2" s="79"/>
      <c r="F2" s="101"/>
      <c r="G2" s="100"/>
      <c r="H2" s="101"/>
      <c r="I2" s="79"/>
      <c r="J2" s="80"/>
      <c r="K2" s="102"/>
      <c r="L2" s="102"/>
      <c r="M2" s="79"/>
      <c r="N2" s="102"/>
      <c r="O2" s="103"/>
      <c r="P2" s="104"/>
      <c r="Q2" s="100"/>
      <c r="R2" s="101"/>
      <c r="S2" s="105"/>
      <c r="T2" s="104"/>
      <c r="U2" s="105"/>
      <c r="V2" s="104"/>
      <c r="W2" s="105"/>
      <c r="X2" s="104"/>
      <c r="Y2" s="105"/>
      <c r="Z2" s="106"/>
    </row>
    <row r="3" spans="1:26" ht="11.25">
      <c r="A3" s="79"/>
      <c r="B3" s="86" t="s">
        <v>120</v>
      </c>
      <c r="C3" s="84" t="s">
        <v>29</v>
      </c>
      <c r="D3" s="81"/>
      <c r="E3" s="84" t="s">
        <v>29</v>
      </c>
      <c r="F3" s="81"/>
      <c r="G3" s="107"/>
      <c r="H3" s="108"/>
      <c r="I3" s="84" t="s">
        <v>29</v>
      </c>
      <c r="J3" s="81"/>
      <c r="K3" s="109"/>
      <c r="L3" s="109"/>
      <c r="M3" s="84" t="s">
        <v>29</v>
      </c>
      <c r="N3" s="109"/>
      <c r="O3" s="110" t="s">
        <v>29</v>
      </c>
      <c r="P3" s="81"/>
      <c r="Q3" s="84" t="s">
        <v>29</v>
      </c>
      <c r="R3" s="81"/>
      <c r="S3" s="107"/>
      <c r="T3" s="108"/>
      <c r="U3" s="107"/>
      <c r="V3" s="108"/>
      <c r="W3" s="107"/>
      <c r="X3" s="108"/>
      <c r="Y3" s="107"/>
      <c r="Z3" s="111"/>
    </row>
    <row r="4" spans="1:26" ht="11.25">
      <c r="A4" s="74"/>
      <c r="B4" s="75" t="s">
        <v>29</v>
      </c>
      <c r="C4" s="112">
        <v>1013841</v>
      </c>
      <c r="D4" s="113"/>
      <c r="E4" s="112">
        <v>423712</v>
      </c>
      <c r="F4" s="113"/>
      <c r="G4" s="112">
        <v>423712</v>
      </c>
      <c r="H4" s="113"/>
      <c r="I4" s="112">
        <v>423712</v>
      </c>
      <c r="J4" s="113"/>
      <c r="K4" s="112">
        <v>166417</v>
      </c>
      <c r="L4" s="114"/>
      <c r="M4" s="112">
        <v>166417</v>
      </c>
      <c r="N4" s="114"/>
      <c r="O4" s="115">
        <v>1013841</v>
      </c>
      <c r="P4" s="113"/>
      <c r="Q4" s="112">
        <v>1013841</v>
      </c>
      <c r="R4" s="113"/>
      <c r="S4" s="112">
        <v>423712</v>
      </c>
      <c r="T4" s="113"/>
      <c r="U4" s="112">
        <v>423712</v>
      </c>
      <c r="V4" s="113"/>
      <c r="W4" s="112">
        <f>1013841-2*423712</f>
        <v>166417</v>
      </c>
      <c r="X4" s="113"/>
      <c r="Y4" s="112">
        <f>1013841-2*423712</f>
        <v>166417</v>
      </c>
      <c r="Z4" s="116"/>
    </row>
    <row r="5" spans="1:26" ht="11.25">
      <c r="A5" s="74"/>
      <c r="B5" s="75" t="s">
        <v>119</v>
      </c>
      <c r="C5" s="112">
        <v>15.25</v>
      </c>
      <c r="D5" s="81"/>
      <c r="E5" s="112">
        <v>13.25</v>
      </c>
      <c r="F5" s="81"/>
      <c r="G5" s="112">
        <v>7.981</v>
      </c>
      <c r="H5" s="81"/>
      <c r="I5" s="112">
        <v>13.25</v>
      </c>
      <c r="J5" s="81"/>
      <c r="K5" s="112">
        <v>13.25</v>
      </c>
      <c r="L5" s="78"/>
      <c r="M5" s="112">
        <v>6.065</v>
      </c>
      <c r="N5" s="78"/>
      <c r="O5" s="115">
        <v>23.25</v>
      </c>
      <c r="P5" s="81"/>
      <c r="Q5" s="112">
        <v>12</v>
      </c>
      <c r="R5" s="81"/>
      <c r="S5" s="112">
        <v>7.981</v>
      </c>
      <c r="T5" s="81"/>
      <c r="U5" s="112">
        <v>12</v>
      </c>
      <c r="V5" s="81"/>
      <c r="W5" s="112">
        <v>12</v>
      </c>
      <c r="X5" s="81"/>
      <c r="Y5" s="112">
        <v>6.065</v>
      </c>
      <c r="Z5" s="117"/>
    </row>
    <row r="6" spans="2:26" ht="11.25">
      <c r="B6" s="75" t="s">
        <v>35</v>
      </c>
      <c r="C6" s="112">
        <v>0.017</v>
      </c>
      <c r="D6" s="81"/>
      <c r="E6" s="112">
        <v>0.017</v>
      </c>
      <c r="F6" s="81"/>
      <c r="G6" s="112">
        <v>0.017</v>
      </c>
      <c r="H6" s="118"/>
      <c r="I6" s="112">
        <v>0.017</v>
      </c>
      <c r="J6" s="81"/>
      <c r="K6" s="112">
        <v>0.017</v>
      </c>
      <c r="L6" s="78"/>
      <c r="M6" s="112">
        <v>0.017</v>
      </c>
      <c r="N6" s="78"/>
      <c r="O6" s="115">
        <v>0.017</v>
      </c>
      <c r="P6" s="81"/>
      <c r="Q6" s="112">
        <v>0.017</v>
      </c>
      <c r="R6" s="81"/>
      <c r="S6" s="112">
        <v>0.017</v>
      </c>
      <c r="T6" s="81"/>
      <c r="U6" s="112">
        <v>0.017</v>
      </c>
      <c r="V6" s="81"/>
      <c r="W6" s="112">
        <v>0.017</v>
      </c>
      <c r="X6" s="81"/>
      <c r="Y6" s="112">
        <v>0.017</v>
      </c>
      <c r="Z6" s="117"/>
    </row>
    <row r="7" spans="1:26" ht="11.25">
      <c r="A7" s="74"/>
      <c r="B7" s="75" t="s">
        <v>150</v>
      </c>
      <c r="C7" s="112">
        <v>4.4</v>
      </c>
      <c r="D7" s="81"/>
      <c r="E7" s="112">
        <v>4.4</v>
      </c>
      <c r="F7" s="81"/>
      <c r="G7" s="112">
        <v>4.4</v>
      </c>
      <c r="H7" s="81"/>
      <c r="I7" s="112">
        <v>4.4</v>
      </c>
      <c r="J7" s="81"/>
      <c r="K7" s="112">
        <v>4.4</v>
      </c>
      <c r="L7" s="78"/>
      <c r="M7" s="112">
        <v>4.4</v>
      </c>
      <c r="N7" s="78"/>
      <c r="O7" s="115">
        <v>4.4</v>
      </c>
      <c r="P7" s="81"/>
      <c r="Q7" s="112">
        <v>4.4</v>
      </c>
      <c r="R7" s="81"/>
      <c r="S7" s="112">
        <v>4.4</v>
      </c>
      <c r="T7" s="81"/>
      <c r="U7" s="112">
        <v>4.4</v>
      </c>
      <c r="V7" s="81"/>
      <c r="W7" s="112">
        <v>4.4</v>
      </c>
      <c r="X7" s="81"/>
      <c r="Y7" s="112">
        <v>4.4</v>
      </c>
      <c r="Z7" s="117"/>
    </row>
    <row r="8" spans="1:26" ht="11.25">
      <c r="A8" s="74"/>
      <c r="B8" s="75" t="s">
        <v>26</v>
      </c>
      <c r="C8" s="112">
        <v>58.73</v>
      </c>
      <c r="D8" s="81"/>
      <c r="E8" s="112">
        <v>58.73</v>
      </c>
      <c r="F8" s="81"/>
      <c r="G8" s="112">
        <v>58.73</v>
      </c>
      <c r="H8" s="81"/>
      <c r="I8" s="112">
        <v>58.73</v>
      </c>
      <c r="J8" s="81"/>
      <c r="K8" s="112">
        <v>58.73</v>
      </c>
      <c r="L8" s="31"/>
      <c r="M8" s="112">
        <v>58.73</v>
      </c>
      <c r="N8" s="31"/>
      <c r="O8" s="115">
        <v>58.73</v>
      </c>
      <c r="P8" s="81"/>
      <c r="Q8" s="112">
        <v>58.73</v>
      </c>
      <c r="R8" s="81"/>
      <c r="S8" s="112">
        <v>58.73</v>
      </c>
      <c r="T8" s="118"/>
      <c r="U8" s="112">
        <v>58.73</v>
      </c>
      <c r="V8" s="118"/>
      <c r="W8" s="112">
        <v>58.73</v>
      </c>
      <c r="X8" s="118"/>
      <c r="Y8" s="112">
        <v>58.73</v>
      </c>
      <c r="Z8" s="119"/>
    </row>
    <row r="9" spans="1:26" ht="11.25">
      <c r="A9" s="76"/>
      <c r="B9" s="75" t="s">
        <v>11</v>
      </c>
      <c r="C9" s="112">
        <v>24715429.585342333</v>
      </c>
      <c r="D9" s="81"/>
      <c r="E9" s="112">
        <v>11888389.966703663</v>
      </c>
      <c r="F9" s="81"/>
      <c r="G9" s="112">
        <v>19737021.307959344</v>
      </c>
      <c r="H9" s="81"/>
      <c r="I9" s="112">
        <v>11888389.966703663</v>
      </c>
      <c r="J9" s="81"/>
      <c r="K9" s="112">
        <v>4669280.532741399</v>
      </c>
      <c r="L9" s="31"/>
      <c r="M9" s="112">
        <v>10200818.97095194</v>
      </c>
      <c r="N9" s="31"/>
      <c r="O9" s="115">
        <v>16211195.749525616</v>
      </c>
      <c r="P9" s="81"/>
      <c r="Q9" s="112">
        <v>31409191.76470588</v>
      </c>
      <c r="R9" s="81"/>
      <c r="S9" s="112">
        <v>19737021.307959344</v>
      </c>
      <c r="T9" s="118"/>
      <c r="U9" s="112">
        <v>13126763.921568627</v>
      </c>
      <c r="V9" s="118"/>
      <c r="W9" s="112">
        <v>5155663.9215686275</v>
      </c>
      <c r="X9" s="118"/>
      <c r="Y9" s="112">
        <v>10200818.97095194</v>
      </c>
      <c r="Z9" s="119"/>
    </row>
    <row r="10" spans="1:26" ht="11.25">
      <c r="A10" s="72" t="s">
        <v>134</v>
      </c>
      <c r="B10" s="73" t="s">
        <v>125</v>
      </c>
      <c r="C10" s="112"/>
      <c r="D10" s="120"/>
      <c r="E10" s="112"/>
      <c r="F10" s="120"/>
      <c r="G10" s="74"/>
      <c r="H10" s="81"/>
      <c r="I10" s="74"/>
      <c r="J10" s="81"/>
      <c r="K10" s="31"/>
      <c r="L10" s="31"/>
      <c r="M10" s="74"/>
      <c r="N10" s="31"/>
      <c r="O10" s="115"/>
      <c r="P10" s="120"/>
      <c r="Q10" s="112"/>
      <c r="R10" s="120"/>
      <c r="S10" s="112"/>
      <c r="T10" s="118"/>
      <c r="U10" s="112"/>
      <c r="V10" s="118"/>
      <c r="W10" s="112"/>
      <c r="X10" s="118"/>
      <c r="Y10" s="112"/>
      <c r="Z10" s="119"/>
    </row>
    <row r="11" spans="1:26" ht="11.25">
      <c r="A11" s="74"/>
      <c r="B11" s="75" t="s">
        <v>126</v>
      </c>
      <c r="C11" s="112">
        <v>1</v>
      </c>
      <c r="D11" s="120">
        <v>0.2664258110670128</v>
      </c>
      <c r="E11" s="112"/>
      <c r="F11" s="120"/>
      <c r="G11" s="74"/>
      <c r="H11" s="81"/>
      <c r="I11" s="74"/>
      <c r="J11" s="81"/>
      <c r="K11" s="78"/>
      <c r="L11" s="78"/>
      <c r="M11" s="74"/>
      <c r="N11" s="78"/>
      <c r="O11" s="115">
        <v>1</v>
      </c>
      <c r="P11" s="120">
        <v>0.2608020367834817</v>
      </c>
      <c r="Q11" s="112"/>
      <c r="R11" s="120"/>
      <c r="S11" s="74"/>
      <c r="T11" s="81"/>
      <c r="U11" s="74"/>
      <c r="V11" s="81"/>
      <c r="W11" s="74"/>
      <c r="X11" s="81"/>
      <c r="Y11" s="74"/>
      <c r="Z11" s="117"/>
    </row>
    <row r="12" spans="1:26" ht="11.25">
      <c r="A12" s="76"/>
      <c r="B12" s="77" t="s">
        <v>127</v>
      </c>
      <c r="C12" s="112"/>
      <c r="D12" s="120"/>
      <c r="E12" s="112">
        <v>1</v>
      </c>
      <c r="F12" s="120">
        <v>0.21516163216622736</v>
      </c>
      <c r="G12" s="74"/>
      <c r="H12" s="75"/>
      <c r="I12" s="74"/>
      <c r="J12" s="81"/>
      <c r="K12" s="78"/>
      <c r="L12" s="78"/>
      <c r="M12" s="74"/>
      <c r="N12" s="78"/>
      <c r="O12" s="115"/>
      <c r="P12" s="120"/>
      <c r="Q12" s="112"/>
      <c r="R12" s="120"/>
      <c r="S12" s="74"/>
      <c r="T12" s="81"/>
      <c r="U12" s="74"/>
      <c r="V12" s="81"/>
      <c r="W12" s="74"/>
      <c r="X12" s="81"/>
      <c r="Y12" s="74"/>
      <c r="Z12" s="117"/>
    </row>
    <row r="13" spans="1:26" ht="11.25">
      <c r="A13" s="94" t="s">
        <v>133</v>
      </c>
      <c r="B13" s="73" t="s">
        <v>128</v>
      </c>
      <c r="C13" s="112"/>
      <c r="D13" s="120"/>
      <c r="E13" s="112"/>
      <c r="F13" s="120"/>
      <c r="G13" s="74"/>
      <c r="H13" s="81"/>
      <c r="I13" s="74"/>
      <c r="J13" s="81"/>
      <c r="K13" s="78"/>
      <c r="L13" s="78"/>
      <c r="M13" s="74"/>
      <c r="N13" s="78"/>
      <c r="O13" s="115"/>
      <c r="P13" s="120"/>
      <c r="Q13" s="112"/>
      <c r="R13" s="120"/>
      <c r="S13" s="74"/>
      <c r="T13" s="81"/>
      <c r="U13" s="74"/>
      <c r="V13" s="81"/>
      <c r="W13" s="74"/>
      <c r="X13" s="81"/>
      <c r="Y13" s="74"/>
      <c r="Z13" s="117"/>
    </row>
    <row r="14" spans="1:26" ht="11.25">
      <c r="A14" s="95"/>
      <c r="B14" s="75" t="s">
        <v>129</v>
      </c>
      <c r="C14" s="112"/>
      <c r="D14" s="120"/>
      <c r="E14" s="112"/>
      <c r="F14" s="120"/>
      <c r="G14" s="74"/>
      <c r="H14" s="81"/>
      <c r="I14" s="74"/>
      <c r="J14" s="81"/>
      <c r="K14" s="78"/>
      <c r="L14" s="78"/>
      <c r="M14" s="74"/>
      <c r="N14" s="78"/>
      <c r="O14" s="115"/>
      <c r="P14" s="120"/>
      <c r="Q14" s="112"/>
      <c r="R14" s="120"/>
      <c r="S14" s="74"/>
      <c r="T14" s="81"/>
      <c r="U14" s="74"/>
      <c r="V14" s="81"/>
      <c r="W14" s="74"/>
      <c r="X14" s="81"/>
      <c r="Y14" s="74"/>
      <c r="Z14" s="117"/>
    </row>
    <row r="15" spans="1:26" ht="11.25">
      <c r="A15" s="95"/>
      <c r="B15" s="75" t="s">
        <v>130</v>
      </c>
      <c r="C15" s="112"/>
      <c r="D15" s="120"/>
      <c r="E15" s="112"/>
      <c r="F15" s="120"/>
      <c r="G15" s="74"/>
      <c r="H15" s="81"/>
      <c r="I15" s="74"/>
      <c r="J15" s="81"/>
      <c r="K15" s="78"/>
      <c r="L15" s="78"/>
      <c r="M15" s="74"/>
      <c r="N15" s="78"/>
      <c r="O15" s="115"/>
      <c r="P15" s="120"/>
      <c r="Q15" s="112"/>
      <c r="R15" s="120"/>
      <c r="S15" s="74"/>
      <c r="T15" s="81"/>
      <c r="U15" s="74"/>
      <c r="V15" s="81"/>
      <c r="W15" s="74"/>
      <c r="X15" s="81"/>
      <c r="Y15" s="74"/>
      <c r="Z15" s="117"/>
    </row>
    <row r="16" spans="1:26" ht="11.25">
      <c r="A16" s="95"/>
      <c r="B16" s="75" t="s">
        <v>131</v>
      </c>
      <c r="C16" s="112"/>
      <c r="D16" s="120"/>
      <c r="E16" s="112"/>
      <c r="F16" s="120"/>
      <c r="G16" s="74"/>
      <c r="H16" s="81"/>
      <c r="I16" s="74"/>
      <c r="J16" s="81"/>
      <c r="K16" s="78"/>
      <c r="L16" s="78"/>
      <c r="M16" s="74"/>
      <c r="N16" s="78"/>
      <c r="O16" s="115"/>
      <c r="P16" s="120"/>
      <c r="Q16" s="112"/>
      <c r="R16" s="120"/>
      <c r="S16" s="74"/>
      <c r="T16" s="81"/>
      <c r="U16" s="74"/>
      <c r="V16" s="81"/>
      <c r="W16" s="74"/>
      <c r="X16" s="81"/>
      <c r="Y16" s="74"/>
      <c r="Z16" s="117"/>
    </row>
    <row r="17" spans="1:26" ht="11.25">
      <c r="A17" s="96"/>
      <c r="B17" s="77" t="s">
        <v>132</v>
      </c>
      <c r="C17" s="112"/>
      <c r="D17" s="120"/>
      <c r="E17" s="112"/>
      <c r="F17" s="120"/>
      <c r="G17" s="74"/>
      <c r="H17" s="81"/>
      <c r="I17" s="74"/>
      <c r="J17" s="81"/>
      <c r="K17" s="78"/>
      <c r="L17" s="78"/>
      <c r="M17" s="74"/>
      <c r="N17" s="78"/>
      <c r="O17" s="115"/>
      <c r="P17" s="120"/>
      <c r="Q17" s="112"/>
      <c r="R17" s="120"/>
      <c r="S17" s="74"/>
      <c r="T17" s="81"/>
      <c r="U17" s="74"/>
      <c r="V17" s="81"/>
      <c r="W17" s="74"/>
      <c r="X17" s="81"/>
      <c r="Y17" s="74"/>
      <c r="Z17" s="117"/>
    </row>
    <row r="18" spans="1:26" ht="11.25">
      <c r="A18" s="72" t="s">
        <v>135</v>
      </c>
      <c r="B18" s="73" t="s">
        <v>125</v>
      </c>
      <c r="C18" s="112"/>
      <c r="D18" s="120"/>
      <c r="E18" s="112"/>
      <c r="F18" s="120"/>
      <c r="G18" s="74"/>
      <c r="H18" s="81"/>
      <c r="I18" s="74"/>
      <c r="J18" s="81"/>
      <c r="K18" s="78"/>
      <c r="L18" s="78"/>
      <c r="M18" s="74"/>
      <c r="N18" s="78"/>
      <c r="O18" s="115"/>
      <c r="P18" s="120"/>
      <c r="Q18" s="112"/>
      <c r="R18" s="120"/>
      <c r="S18" s="74"/>
      <c r="T18" s="81"/>
      <c r="U18" s="74"/>
      <c r="V18" s="81"/>
      <c r="W18" s="74"/>
      <c r="X18" s="81"/>
      <c r="Y18" s="74"/>
      <c r="Z18" s="117"/>
    </row>
    <row r="19" spans="1:26" ht="11.25">
      <c r="A19" s="74"/>
      <c r="B19" s="75" t="s">
        <v>127</v>
      </c>
      <c r="C19" s="112"/>
      <c r="D19" s="120"/>
      <c r="E19" s="112"/>
      <c r="F19" s="120"/>
      <c r="G19" s="74"/>
      <c r="H19" s="81"/>
      <c r="I19" s="74"/>
      <c r="J19" s="81"/>
      <c r="K19" s="78"/>
      <c r="L19" s="78"/>
      <c r="M19" s="74"/>
      <c r="N19" s="78"/>
      <c r="O19" s="115"/>
      <c r="P19" s="120"/>
      <c r="Q19" s="112"/>
      <c r="R19" s="120"/>
      <c r="S19" s="74"/>
      <c r="T19" s="81"/>
      <c r="U19" s="74"/>
      <c r="V19" s="81"/>
      <c r="W19" s="74"/>
      <c r="X19" s="81"/>
      <c r="Y19" s="74"/>
      <c r="Z19" s="117"/>
    </row>
    <row r="20" spans="1:26" ht="11.25">
      <c r="A20" s="74"/>
      <c r="B20" s="75" t="s">
        <v>128</v>
      </c>
      <c r="C20" s="112"/>
      <c r="D20" s="120"/>
      <c r="E20" s="112"/>
      <c r="F20" s="120"/>
      <c r="G20" s="74"/>
      <c r="H20" s="81"/>
      <c r="I20" s="74"/>
      <c r="J20" s="81"/>
      <c r="K20" s="78"/>
      <c r="L20" s="78"/>
      <c r="M20" s="74"/>
      <c r="N20" s="78"/>
      <c r="O20" s="115"/>
      <c r="P20" s="120"/>
      <c r="Q20" s="112"/>
      <c r="R20" s="120"/>
      <c r="S20" s="74"/>
      <c r="T20" s="81"/>
      <c r="U20" s="74"/>
      <c r="V20" s="81"/>
      <c r="W20" s="74"/>
      <c r="X20" s="81"/>
      <c r="Y20" s="74"/>
      <c r="Z20" s="117"/>
    </row>
    <row r="21" spans="1:26" ht="11.25">
      <c r="A21" s="76"/>
      <c r="B21" s="77" t="s">
        <v>129</v>
      </c>
      <c r="C21" s="112"/>
      <c r="D21" s="120"/>
      <c r="E21" s="112"/>
      <c r="F21" s="120"/>
      <c r="G21" s="74"/>
      <c r="H21" s="81"/>
      <c r="I21" s="74"/>
      <c r="J21" s="81"/>
      <c r="K21" s="121"/>
      <c r="L21" s="121"/>
      <c r="M21" s="74"/>
      <c r="N21" s="121"/>
      <c r="O21" s="115"/>
      <c r="P21" s="120"/>
      <c r="Q21" s="112"/>
      <c r="R21" s="120"/>
      <c r="S21" s="74"/>
      <c r="T21" s="81"/>
      <c r="U21" s="74"/>
      <c r="V21" s="81"/>
      <c r="W21" s="74"/>
      <c r="X21" s="81"/>
      <c r="Y21" s="74"/>
      <c r="Z21" s="117"/>
    </row>
    <row r="22" spans="1:26" ht="11.25">
      <c r="A22" s="72" t="s">
        <v>136</v>
      </c>
      <c r="B22" s="73" t="s">
        <v>125</v>
      </c>
      <c r="C22" s="112"/>
      <c r="D22" s="120"/>
      <c r="E22" s="112"/>
      <c r="F22" s="120"/>
      <c r="G22" s="74"/>
      <c r="H22" s="81"/>
      <c r="I22" s="74"/>
      <c r="J22" s="81"/>
      <c r="K22" s="78"/>
      <c r="L22" s="78"/>
      <c r="M22" s="74"/>
      <c r="N22" s="78"/>
      <c r="O22" s="115"/>
      <c r="P22" s="120"/>
      <c r="Q22" s="112"/>
      <c r="R22" s="120"/>
      <c r="S22" s="74"/>
      <c r="T22" s="81"/>
      <c r="U22" s="74"/>
      <c r="V22" s="81"/>
      <c r="W22" s="74"/>
      <c r="X22" s="81"/>
      <c r="Y22" s="74"/>
      <c r="Z22" s="117"/>
    </row>
    <row r="23" spans="1:26" ht="11.25">
      <c r="A23" s="74"/>
      <c r="B23" s="75" t="s">
        <v>126</v>
      </c>
      <c r="C23" s="112"/>
      <c r="D23" s="120"/>
      <c r="E23" s="112"/>
      <c r="F23" s="120"/>
      <c r="G23" s="74"/>
      <c r="H23" s="81"/>
      <c r="I23" s="74"/>
      <c r="J23" s="81"/>
      <c r="K23" s="78"/>
      <c r="L23" s="78"/>
      <c r="M23" s="74"/>
      <c r="N23" s="78"/>
      <c r="O23" s="115"/>
      <c r="P23" s="120"/>
      <c r="Q23" s="112"/>
      <c r="R23" s="120"/>
      <c r="S23" s="74"/>
      <c r="T23" s="81"/>
      <c r="U23" s="74"/>
      <c r="V23" s="81"/>
      <c r="W23" s="74"/>
      <c r="X23" s="81"/>
      <c r="Y23" s="74"/>
      <c r="Z23" s="117"/>
    </row>
    <row r="24" spans="1:26" ht="11.25">
      <c r="A24" s="74"/>
      <c r="B24" s="75" t="s">
        <v>127</v>
      </c>
      <c r="C24" s="112"/>
      <c r="D24" s="120"/>
      <c r="E24" s="112"/>
      <c r="F24" s="120"/>
      <c r="G24" s="74"/>
      <c r="H24" s="81"/>
      <c r="I24" s="74"/>
      <c r="J24" s="81"/>
      <c r="K24" s="78"/>
      <c r="L24" s="78"/>
      <c r="M24" s="74"/>
      <c r="N24" s="78"/>
      <c r="O24" s="115"/>
      <c r="P24" s="120"/>
      <c r="Q24" s="112"/>
      <c r="R24" s="120"/>
      <c r="S24" s="74"/>
      <c r="T24" s="81"/>
      <c r="U24" s="74"/>
      <c r="V24" s="81"/>
      <c r="W24" s="74"/>
      <c r="X24" s="81"/>
      <c r="Y24" s="74"/>
      <c r="Z24" s="117"/>
    </row>
    <row r="25" spans="1:26" ht="11.25">
      <c r="A25" s="94" t="s">
        <v>143</v>
      </c>
      <c r="B25" s="73" t="s">
        <v>138</v>
      </c>
      <c r="C25" s="112"/>
      <c r="D25" s="120"/>
      <c r="E25" s="112"/>
      <c r="F25" s="120"/>
      <c r="G25" s="74"/>
      <c r="H25" s="81"/>
      <c r="I25" s="74"/>
      <c r="J25" s="81"/>
      <c r="K25" s="78"/>
      <c r="L25" s="78"/>
      <c r="M25" s="74"/>
      <c r="N25" s="78"/>
      <c r="O25" s="115"/>
      <c r="P25" s="120"/>
      <c r="Q25" s="112"/>
      <c r="R25" s="120"/>
      <c r="S25" s="74"/>
      <c r="T25" s="81"/>
      <c r="U25" s="74"/>
      <c r="V25" s="81"/>
      <c r="W25" s="74"/>
      <c r="X25" s="81"/>
      <c r="Y25" s="74"/>
      <c r="Z25" s="117"/>
    </row>
    <row r="26" spans="1:26" ht="11.25">
      <c r="A26" s="95"/>
      <c r="B26" s="75" t="s">
        <v>139</v>
      </c>
      <c r="C26" s="112"/>
      <c r="D26" s="120"/>
      <c r="E26" s="112"/>
      <c r="F26" s="120"/>
      <c r="G26" s="74"/>
      <c r="H26" s="81"/>
      <c r="I26" s="74"/>
      <c r="J26" s="81"/>
      <c r="K26" s="78"/>
      <c r="L26" s="78"/>
      <c r="M26" s="74"/>
      <c r="N26" s="78"/>
      <c r="O26" s="115"/>
      <c r="P26" s="120"/>
      <c r="Q26" s="112"/>
      <c r="R26" s="120"/>
      <c r="S26" s="74"/>
      <c r="T26" s="81"/>
      <c r="U26" s="74"/>
      <c r="V26" s="81"/>
      <c r="W26" s="74"/>
      <c r="X26" s="81"/>
      <c r="Y26" s="74"/>
      <c r="Z26" s="117"/>
    </row>
    <row r="27" spans="1:26" ht="11.25">
      <c r="A27" s="95"/>
      <c r="B27" s="75" t="s">
        <v>140</v>
      </c>
      <c r="C27" s="112">
        <v>1</v>
      </c>
      <c r="D27" s="120">
        <v>0.8524913848375046</v>
      </c>
      <c r="E27" s="112"/>
      <c r="F27" s="120"/>
      <c r="G27" s="74"/>
      <c r="H27" s="81"/>
      <c r="I27" s="74"/>
      <c r="J27" s="81"/>
      <c r="K27" s="78"/>
      <c r="L27" s="78"/>
      <c r="M27" s="74"/>
      <c r="N27" s="78"/>
      <c r="O27" s="115">
        <v>1</v>
      </c>
      <c r="P27" s="120">
        <v>0.8344579507619764</v>
      </c>
      <c r="Q27" s="112"/>
      <c r="R27" s="120"/>
      <c r="S27" s="74"/>
      <c r="T27" s="81"/>
      <c r="U27" s="74"/>
      <c r="V27" s="81"/>
      <c r="W27" s="74"/>
      <c r="X27" s="81"/>
      <c r="Y27" s="74"/>
      <c r="Z27" s="117"/>
    </row>
    <row r="28" spans="1:26" ht="11.25">
      <c r="A28" s="96"/>
      <c r="B28" s="77" t="s">
        <v>137</v>
      </c>
      <c r="C28" s="112"/>
      <c r="D28" s="120"/>
      <c r="E28" s="112"/>
      <c r="F28" s="120"/>
      <c r="G28" s="74"/>
      <c r="H28" s="81"/>
      <c r="I28" s="74"/>
      <c r="J28" s="81"/>
      <c r="K28" s="78"/>
      <c r="L28" s="78"/>
      <c r="M28" s="74"/>
      <c r="N28" s="78"/>
      <c r="O28" s="115"/>
      <c r="P28" s="120"/>
      <c r="Q28" s="112"/>
      <c r="R28" s="120"/>
      <c r="S28" s="74"/>
      <c r="T28" s="81"/>
      <c r="U28" s="74"/>
      <c r="V28" s="81"/>
      <c r="W28" s="74"/>
      <c r="X28" s="81"/>
      <c r="Y28" s="74"/>
      <c r="Z28" s="117"/>
    </row>
    <row r="29" spans="1:26" ht="11.25" customHeight="1">
      <c r="A29" s="94" t="s">
        <v>144</v>
      </c>
      <c r="B29" s="73" t="s">
        <v>141</v>
      </c>
      <c r="C29" s="112"/>
      <c r="D29" s="120"/>
      <c r="E29" s="112"/>
      <c r="F29" s="120"/>
      <c r="G29" s="74"/>
      <c r="H29" s="81"/>
      <c r="I29" s="74"/>
      <c r="J29" s="81"/>
      <c r="K29" s="78"/>
      <c r="L29" s="78"/>
      <c r="M29" s="74"/>
      <c r="N29" s="78"/>
      <c r="O29" s="115"/>
      <c r="P29" s="120"/>
      <c r="Q29" s="112"/>
      <c r="R29" s="120"/>
      <c r="S29" s="74"/>
      <c r="T29" s="81"/>
      <c r="U29" s="74"/>
      <c r="V29" s="81"/>
      <c r="W29" s="74"/>
      <c r="X29" s="81"/>
      <c r="Y29" s="74"/>
      <c r="Z29" s="117"/>
    </row>
    <row r="30" spans="1:26" ht="11.25" customHeight="1">
      <c r="A30" s="95"/>
      <c r="B30" s="75" t="s">
        <v>142</v>
      </c>
      <c r="C30" s="112">
        <v>1</v>
      </c>
      <c r="D30" s="120">
        <v>0.5327929543291633</v>
      </c>
      <c r="E30" s="112">
        <v>1</v>
      </c>
      <c r="F30" s="120">
        <v>0.5377484664085261</v>
      </c>
      <c r="G30" s="74"/>
      <c r="H30" s="81"/>
      <c r="I30" s="74"/>
      <c r="J30" s="81"/>
      <c r="K30" s="78"/>
      <c r="L30" s="78"/>
      <c r="M30" s="74"/>
      <c r="N30" s="78"/>
      <c r="O30" s="115">
        <v>1</v>
      </c>
      <c r="P30" s="120">
        <v>0.5215146292087307</v>
      </c>
      <c r="Q30" s="112"/>
      <c r="R30" s="120"/>
      <c r="S30" s="74"/>
      <c r="T30" s="81"/>
      <c r="U30" s="74"/>
      <c r="V30" s="81"/>
      <c r="W30" s="74"/>
      <c r="X30" s="81"/>
      <c r="Y30" s="74"/>
      <c r="Z30" s="117"/>
    </row>
    <row r="31" spans="1:26" ht="11.25" customHeight="1">
      <c r="A31" s="96"/>
      <c r="B31" s="77" t="s">
        <v>137</v>
      </c>
      <c r="C31" s="112"/>
      <c r="D31" s="120"/>
      <c r="E31" s="112"/>
      <c r="F31" s="120"/>
      <c r="G31" s="74"/>
      <c r="H31" s="81"/>
      <c r="I31" s="74"/>
      <c r="J31" s="81"/>
      <c r="K31" s="78"/>
      <c r="L31" s="78"/>
      <c r="M31" s="74"/>
      <c r="N31" s="78"/>
      <c r="O31" s="115"/>
      <c r="P31" s="120"/>
      <c r="Q31" s="112"/>
      <c r="R31" s="120"/>
      <c r="S31" s="74"/>
      <c r="T31" s="81"/>
      <c r="U31" s="74"/>
      <c r="V31" s="81"/>
      <c r="W31" s="74"/>
      <c r="X31" s="81"/>
      <c r="Y31" s="74"/>
      <c r="Z31" s="117"/>
    </row>
    <row r="32" spans="1:26" ht="11.25">
      <c r="A32" s="72"/>
      <c r="B32" s="80" t="s">
        <v>2</v>
      </c>
      <c r="C32" s="112"/>
      <c r="D32" s="120"/>
      <c r="E32" s="112"/>
      <c r="F32" s="120"/>
      <c r="G32" s="74">
        <v>1</v>
      </c>
      <c r="H32" s="81">
        <v>0.1125449580376585</v>
      </c>
      <c r="I32" s="74"/>
      <c r="J32" s="81"/>
      <c r="K32" s="122"/>
      <c r="L32" s="122"/>
      <c r="M32" s="74">
        <v>1</v>
      </c>
      <c r="N32" s="122">
        <v>0.1165174555699168</v>
      </c>
      <c r="O32" s="115"/>
      <c r="P32" s="120"/>
      <c r="Q32" s="112"/>
      <c r="R32" s="120"/>
      <c r="S32" s="123"/>
      <c r="T32" s="118"/>
      <c r="U32" s="123"/>
      <c r="V32" s="118"/>
      <c r="W32" s="123"/>
      <c r="X32" s="118"/>
      <c r="Y32" s="123"/>
      <c r="Z32" s="119"/>
    </row>
    <row r="33" spans="1:26" ht="11.25">
      <c r="A33" s="74"/>
      <c r="B33" s="81" t="s">
        <v>3</v>
      </c>
      <c r="C33" s="112"/>
      <c r="D33" s="120"/>
      <c r="E33" s="112"/>
      <c r="F33" s="120"/>
      <c r="G33" s="74"/>
      <c r="H33" s="81"/>
      <c r="I33" s="74"/>
      <c r="J33" s="81"/>
      <c r="K33" s="122"/>
      <c r="L33" s="122"/>
      <c r="M33" s="74"/>
      <c r="N33" s="122"/>
      <c r="O33" s="115"/>
      <c r="P33" s="120"/>
      <c r="Q33" s="112"/>
      <c r="R33" s="120"/>
      <c r="S33" s="123"/>
      <c r="T33" s="118"/>
      <c r="U33" s="123"/>
      <c r="V33" s="118"/>
      <c r="W33" s="123"/>
      <c r="X33" s="118"/>
      <c r="Y33" s="123"/>
      <c r="Z33" s="119"/>
    </row>
    <row r="34" spans="1:26" ht="11.25">
      <c r="A34" s="74"/>
      <c r="B34" s="81" t="s">
        <v>5</v>
      </c>
      <c r="C34" s="112"/>
      <c r="D34" s="120"/>
      <c r="E34" s="112"/>
      <c r="F34" s="120"/>
      <c r="G34" s="74"/>
      <c r="H34" s="81"/>
      <c r="I34" s="74"/>
      <c r="J34" s="81"/>
      <c r="K34" s="122"/>
      <c r="L34" s="122"/>
      <c r="M34" s="74"/>
      <c r="N34" s="122"/>
      <c r="O34" s="115"/>
      <c r="P34" s="120"/>
      <c r="Q34" s="112"/>
      <c r="R34" s="120"/>
      <c r="S34" s="123"/>
      <c r="T34" s="118"/>
      <c r="U34" s="123"/>
      <c r="V34" s="118"/>
      <c r="W34" s="123"/>
      <c r="X34" s="118"/>
      <c r="Y34" s="123"/>
      <c r="Z34" s="119"/>
    </row>
    <row r="35" spans="1:26" ht="11.25">
      <c r="A35" s="74"/>
      <c r="B35" s="75" t="s">
        <v>122</v>
      </c>
      <c r="C35" s="112"/>
      <c r="D35" s="120"/>
      <c r="E35" s="112"/>
      <c r="F35" s="120"/>
      <c r="G35" s="74"/>
      <c r="H35" s="81"/>
      <c r="I35" s="74"/>
      <c r="J35" s="81"/>
      <c r="K35" s="122"/>
      <c r="L35" s="122"/>
      <c r="M35" s="74"/>
      <c r="N35" s="122"/>
      <c r="O35" s="115"/>
      <c r="P35" s="120"/>
      <c r="Q35" s="112"/>
      <c r="R35" s="120"/>
      <c r="S35" s="123"/>
      <c r="T35" s="118"/>
      <c r="U35" s="123"/>
      <c r="V35" s="118"/>
      <c r="W35" s="123"/>
      <c r="X35" s="118"/>
      <c r="Y35" s="123"/>
      <c r="Z35" s="119"/>
    </row>
    <row r="36" spans="1:26" ht="11.25">
      <c r="A36" s="83" t="s">
        <v>145</v>
      </c>
      <c r="B36" s="75" t="s">
        <v>123</v>
      </c>
      <c r="C36" s="112"/>
      <c r="D36" s="120"/>
      <c r="E36" s="112"/>
      <c r="F36" s="120"/>
      <c r="G36" s="74"/>
      <c r="H36" s="81"/>
      <c r="I36" s="74"/>
      <c r="J36" s="81"/>
      <c r="K36" s="122"/>
      <c r="L36" s="122"/>
      <c r="M36" s="74"/>
      <c r="N36" s="122"/>
      <c r="O36" s="115"/>
      <c r="P36" s="120"/>
      <c r="Q36" s="112"/>
      <c r="R36" s="120"/>
      <c r="S36" s="123"/>
      <c r="T36" s="118"/>
      <c r="U36" s="123"/>
      <c r="V36" s="118"/>
      <c r="W36" s="123"/>
      <c r="X36" s="118"/>
      <c r="Y36" s="123"/>
      <c r="Z36" s="119"/>
    </row>
    <row r="37" spans="1:26" ht="11.25">
      <c r="A37" s="74"/>
      <c r="B37" s="75" t="s">
        <v>124</v>
      </c>
      <c r="C37" s="112"/>
      <c r="D37" s="120"/>
      <c r="E37" s="112"/>
      <c r="F37" s="120"/>
      <c r="G37" s="74"/>
      <c r="H37" s="81"/>
      <c r="I37" s="74"/>
      <c r="J37" s="81"/>
      <c r="K37" s="122"/>
      <c r="L37" s="122"/>
      <c r="M37" s="74"/>
      <c r="N37" s="122"/>
      <c r="O37" s="115"/>
      <c r="P37" s="120"/>
      <c r="Q37" s="112"/>
      <c r="R37" s="120"/>
      <c r="S37" s="123"/>
      <c r="T37" s="118"/>
      <c r="U37" s="123"/>
      <c r="V37" s="118"/>
      <c r="W37" s="123"/>
      <c r="X37" s="118"/>
      <c r="Y37" s="123"/>
      <c r="Z37" s="119"/>
    </row>
    <row r="38" spans="1:26" ht="11.25">
      <c r="A38" s="76"/>
      <c r="B38" s="82" t="s">
        <v>4</v>
      </c>
      <c r="C38" s="112"/>
      <c r="D38" s="120"/>
      <c r="E38" s="112"/>
      <c r="F38" s="120"/>
      <c r="G38" s="74"/>
      <c r="H38" s="81"/>
      <c r="I38" s="74"/>
      <c r="J38" s="81"/>
      <c r="K38" s="122"/>
      <c r="L38" s="122"/>
      <c r="M38" s="74"/>
      <c r="N38" s="122"/>
      <c r="O38" s="115"/>
      <c r="P38" s="120"/>
      <c r="Q38" s="112"/>
      <c r="R38" s="120"/>
      <c r="S38" s="123"/>
      <c r="T38" s="118"/>
      <c r="U38" s="123"/>
      <c r="V38" s="118"/>
      <c r="W38" s="123"/>
      <c r="X38" s="118"/>
      <c r="Y38" s="123"/>
      <c r="Z38" s="119"/>
    </row>
    <row r="39" spans="1:26" ht="11.25">
      <c r="A39" s="79"/>
      <c r="B39" s="81" t="s">
        <v>7</v>
      </c>
      <c r="C39" s="112"/>
      <c r="D39" s="120"/>
      <c r="E39" s="112"/>
      <c r="F39" s="120"/>
      <c r="G39" s="74"/>
      <c r="H39" s="81"/>
      <c r="I39" s="74"/>
      <c r="J39" s="81"/>
      <c r="K39" s="122"/>
      <c r="L39" s="122"/>
      <c r="M39" s="74"/>
      <c r="N39" s="122"/>
      <c r="O39" s="115"/>
      <c r="P39" s="120"/>
      <c r="Q39" s="112"/>
      <c r="R39" s="120"/>
      <c r="S39" s="123"/>
      <c r="T39" s="118"/>
      <c r="U39" s="123"/>
      <c r="V39" s="118"/>
      <c r="W39" s="123"/>
      <c r="X39" s="118"/>
      <c r="Y39" s="123"/>
      <c r="Z39" s="119"/>
    </row>
    <row r="40" spans="1:26" ht="11.25">
      <c r="A40" s="84" t="s">
        <v>146</v>
      </c>
      <c r="B40" s="80" t="s">
        <v>6</v>
      </c>
      <c r="C40" s="112"/>
      <c r="D40" s="120"/>
      <c r="E40" s="112"/>
      <c r="F40" s="120"/>
      <c r="G40" s="74"/>
      <c r="H40" s="81"/>
      <c r="I40" s="74"/>
      <c r="J40" s="81"/>
      <c r="K40" s="122"/>
      <c r="L40" s="122"/>
      <c r="M40" s="74"/>
      <c r="N40" s="122"/>
      <c r="O40" s="115"/>
      <c r="P40" s="120"/>
      <c r="Q40" s="112"/>
      <c r="R40" s="120"/>
      <c r="S40" s="123"/>
      <c r="T40" s="118"/>
      <c r="U40" s="123"/>
      <c r="V40" s="118"/>
      <c r="W40" s="123"/>
      <c r="X40" s="118"/>
      <c r="Y40" s="123"/>
      <c r="Z40" s="119"/>
    </row>
    <row r="41" spans="1:26" ht="11.25">
      <c r="A41" s="85" t="s">
        <v>145</v>
      </c>
      <c r="B41" s="77" t="s">
        <v>121</v>
      </c>
      <c r="C41" s="112"/>
      <c r="D41" s="120"/>
      <c r="E41" s="112"/>
      <c r="F41" s="120"/>
      <c r="G41" s="74"/>
      <c r="H41" s="81"/>
      <c r="I41" s="74"/>
      <c r="J41" s="81"/>
      <c r="K41" s="122"/>
      <c r="L41" s="122"/>
      <c r="M41" s="74"/>
      <c r="N41" s="122"/>
      <c r="O41" s="115"/>
      <c r="P41" s="120"/>
      <c r="Q41" s="112"/>
      <c r="R41" s="120"/>
      <c r="S41" s="123"/>
      <c r="T41" s="118"/>
      <c r="U41" s="123"/>
      <c r="V41" s="118"/>
      <c r="W41" s="123"/>
      <c r="X41" s="118"/>
      <c r="Y41" s="123"/>
      <c r="Z41" s="119"/>
    </row>
    <row r="42" spans="2:26" ht="11.25">
      <c r="B42" s="27" t="s">
        <v>1</v>
      </c>
      <c r="C42" s="112"/>
      <c r="D42" s="120"/>
      <c r="E42" s="112"/>
      <c r="F42" s="120"/>
      <c r="G42" s="74"/>
      <c r="H42" s="81"/>
      <c r="I42" s="74"/>
      <c r="J42" s="81"/>
      <c r="K42" s="122"/>
      <c r="L42" s="122"/>
      <c r="M42" s="74"/>
      <c r="N42" s="122"/>
      <c r="O42" s="115"/>
      <c r="P42" s="120"/>
      <c r="Q42" s="112"/>
      <c r="R42" s="120"/>
      <c r="S42" s="123"/>
      <c r="T42" s="118"/>
      <c r="U42" s="123"/>
      <c r="V42" s="118"/>
      <c r="W42" s="123"/>
      <c r="X42" s="118"/>
      <c r="Y42" s="123"/>
      <c r="Z42" s="119"/>
    </row>
    <row r="43" spans="2:26" ht="11.25">
      <c r="B43" s="27" t="s">
        <v>8</v>
      </c>
      <c r="C43" s="112"/>
      <c r="D43" s="120"/>
      <c r="E43" s="112"/>
      <c r="F43" s="120"/>
      <c r="G43" s="74"/>
      <c r="H43" s="81"/>
      <c r="I43" s="74"/>
      <c r="J43" s="81"/>
      <c r="K43" s="122"/>
      <c r="L43" s="122"/>
      <c r="M43" s="74"/>
      <c r="N43" s="122"/>
      <c r="O43" s="115"/>
      <c r="P43" s="120"/>
      <c r="Q43" s="112"/>
      <c r="R43" s="120"/>
      <c r="S43" s="123"/>
      <c r="T43" s="118"/>
      <c r="U43" s="123"/>
      <c r="V43" s="118"/>
      <c r="W43" s="123"/>
      <c r="X43" s="118"/>
      <c r="Y43" s="123"/>
      <c r="Z43" s="119"/>
    </row>
    <row r="44" spans="2:26" ht="11.25">
      <c r="B44" s="71" t="s">
        <v>113</v>
      </c>
      <c r="C44" s="112"/>
      <c r="D44" s="120"/>
      <c r="E44" s="112"/>
      <c r="F44" s="120"/>
      <c r="G44" s="74"/>
      <c r="H44" s="118"/>
      <c r="I44" s="74"/>
      <c r="J44" s="81"/>
      <c r="K44" s="122"/>
      <c r="L44" s="122"/>
      <c r="M44" s="74"/>
      <c r="N44" s="122"/>
      <c r="O44" s="115"/>
      <c r="P44" s="120"/>
      <c r="Q44" s="112"/>
      <c r="R44" s="120"/>
      <c r="S44" s="123"/>
      <c r="T44" s="118"/>
      <c r="U44" s="123"/>
      <c r="V44" s="118"/>
      <c r="W44" s="123"/>
      <c r="X44" s="118"/>
      <c r="Y44" s="123"/>
      <c r="Z44" s="119"/>
    </row>
    <row r="45" spans="2:26" ht="11.25">
      <c r="B45" s="71" t="s">
        <v>151</v>
      </c>
      <c r="C45" s="112">
        <v>13.25</v>
      </c>
      <c r="D45" s="120">
        <v>0.11767617195882012</v>
      </c>
      <c r="E45" s="112">
        <v>12.25</v>
      </c>
      <c r="F45" s="120">
        <v>0.0994039017323767</v>
      </c>
      <c r="G45" s="74">
        <v>6.065</v>
      </c>
      <c r="H45" s="118">
        <v>0.3466392856657062</v>
      </c>
      <c r="I45" s="74">
        <v>9.37</v>
      </c>
      <c r="J45" s="81">
        <v>0.9994787577651866</v>
      </c>
      <c r="K45" s="31">
        <v>11.387</v>
      </c>
      <c r="L45" s="31">
        <v>0.2396514373659113</v>
      </c>
      <c r="M45" s="74">
        <v>4.026</v>
      </c>
      <c r="N45" s="31">
        <v>0.7882418023255736</v>
      </c>
      <c r="O45" s="115">
        <v>12</v>
      </c>
      <c r="P45" s="120">
        <v>2.828600092078138</v>
      </c>
      <c r="Q45" s="112"/>
      <c r="R45" s="120"/>
      <c r="S45" s="123">
        <v>6.065</v>
      </c>
      <c r="T45" s="118">
        <v>0.3466392856657062</v>
      </c>
      <c r="U45" s="123">
        <v>9.41</v>
      </c>
      <c r="V45" s="118">
        <v>0.509208597318483</v>
      </c>
      <c r="W45" s="123">
        <v>11.3125</v>
      </c>
      <c r="X45" s="118">
        <v>0.07046495140656346</v>
      </c>
      <c r="Y45" s="123">
        <v>4.02</v>
      </c>
      <c r="Z45" s="119">
        <v>0.7948187718284602</v>
      </c>
    </row>
    <row r="46" spans="2:26" ht="11.25">
      <c r="B46" s="71" t="s">
        <v>152</v>
      </c>
      <c r="C46" s="112">
        <v>40</v>
      </c>
      <c r="D46" s="120"/>
      <c r="E46" s="112">
        <v>180</v>
      </c>
      <c r="F46" s="120"/>
      <c r="G46" s="74">
        <v>40</v>
      </c>
      <c r="H46" s="118"/>
      <c r="I46" s="74">
        <v>180</v>
      </c>
      <c r="J46" s="81"/>
      <c r="K46" s="31">
        <v>180</v>
      </c>
      <c r="L46" s="31"/>
      <c r="M46" s="74">
        <v>40</v>
      </c>
      <c r="N46" s="31"/>
      <c r="O46" s="115">
        <v>40</v>
      </c>
      <c r="P46" s="120"/>
      <c r="Q46" s="112"/>
      <c r="R46" s="120"/>
      <c r="S46" s="112">
        <v>40</v>
      </c>
      <c r="T46" s="118"/>
      <c r="U46" s="112">
        <v>180</v>
      </c>
      <c r="V46" s="118"/>
      <c r="W46" s="112">
        <v>180</v>
      </c>
      <c r="X46" s="118"/>
      <c r="Y46" s="112">
        <v>40</v>
      </c>
      <c r="Z46" s="119"/>
    </row>
    <row r="47" spans="2:26" ht="11.25">
      <c r="B47" s="71" t="s">
        <v>153</v>
      </c>
      <c r="C47" s="112"/>
      <c r="D47" s="120"/>
      <c r="E47" s="112"/>
      <c r="F47" s="120"/>
      <c r="G47" s="74"/>
      <c r="H47" s="118"/>
      <c r="I47" s="74"/>
      <c r="J47" s="81"/>
      <c r="K47" s="31"/>
      <c r="L47" s="31"/>
      <c r="M47" s="74"/>
      <c r="N47" s="31"/>
      <c r="O47" s="115"/>
      <c r="P47" s="120"/>
      <c r="Q47" s="112">
        <v>12.2</v>
      </c>
      <c r="R47" s="120">
        <v>0.0011297125449065666</v>
      </c>
      <c r="S47" s="112"/>
      <c r="T47" s="118"/>
      <c r="U47" s="112"/>
      <c r="V47" s="118"/>
      <c r="W47" s="112"/>
      <c r="X47" s="118"/>
      <c r="Y47" s="112"/>
      <c r="Z47" s="119"/>
    </row>
    <row r="48" spans="2:26" ht="11.25">
      <c r="B48" s="71" t="s">
        <v>152</v>
      </c>
      <c r="C48" s="112"/>
      <c r="D48" s="120"/>
      <c r="E48" s="112"/>
      <c r="F48" s="120"/>
      <c r="G48" s="124"/>
      <c r="H48" s="118"/>
      <c r="I48" s="74"/>
      <c r="J48" s="81"/>
      <c r="K48" s="31"/>
      <c r="L48" s="31"/>
      <c r="M48" s="124"/>
      <c r="N48" s="31"/>
      <c r="O48" s="115"/>
      <c r="P48" s="120"/>
      <c r="Q48" s="112">
        <v>180</v>
      </c>
      <c r="R48" s="120"/>
      <c r="S48" s="112"/>
      <c r="T48" s="118"/>
      <c r="U48" s="112"/>
      <c r="V48" s="118"/>
      <c r="W48" s="112"/>
      <c r="X48" s="118"/>
      <c r="Y48" s="112"/>
      <c r="Z48" s="119"/>
    </row>
    <row r="49" spans="2:26" ht="11.25">
      <c r="B49" s="71" t="s">
        <v>154</v>
      </c>
      <c r="C49" s="112"/>
      <c r="D49" s="120"/>
      <c r="E49" s="112"/>
      <c r="F49" s="120"/>
      <c r="G49" s="124"/>
      <c r="H49" s="118"/>
      <c r="I49" s="74"/>
      <c r="J49" s="81"/>
      <c r="K49" s="31"/>
      <c r="L49" s="31"/>
      <c r="M49" s="124"/>
      <c r="N49" s="31"/>
      <c r="O49" s="115"/>
      <c r="P49" s="120"/>
      <c r="Q49" s="112"/>
      <c r="R49" s="120"/>
      <c r="S49" s="112"/>
      <c r="T49" s="118"/>
      <c r="U49" s="112"/>
      <c r="V49" s="118"/>
      <c r="W49" s="112"/>
      <c r="X49" s="118"/>
      <c r="Y49" s="112"/>
      <c r="Z49" s="119"/>
    </row>
    <row r="50" spans="2:26" ht="11.25">
      <c r="B50" s="71" t="s">
        <v>147</v>
      </c>
      <c r="C50" s="30"/>
      <c r="D50" s="27">
        <v>1.7693863221925008</v>
      </c>
      <c r="F50" s="32">
        <v>0.8523140003071301</v>
      </c>
      <c r="H50" s="32">
        <v>0.4591842437033647</v>
      </c>
      <c r="J50" s="27">
        <v>0.9994787577651866</v>
      </c>
      <c r="L50" s="27">
        <v>0.2396514373659113</v>
      </c>
      <c r="N50" s="36">
        <v>0.9047592578954904</v>
      </c>
      <c r="P50" s="28">
        <v>4.445374708832326</v>
      </c>
      <c r="Q50" s="28"/>
      <c r="R50" s="27">
        <v>0.0011297125449065666</v>
      </c>
      <c r="T50" s="27">
        <v>0.3466392856657062</v>
      </c>
      <c r="V50" s="27">
        <v>0.509208597318483</v>
      </c>
      <c r="X50" s="27">
        <v>0.07046495140656346</v>
      </c>
      <c r="Z50" s="27">
        <v>0.7948187718284602</v>
      </c>
    </row>
    <row r="51" spans="14:17" ht="11.25">
      <c r="N51" s="38"/>
      <c r="P51" s="39"/>
      <c r="Q51" s="28"/>
    </row>
    <row r="52" spans="7:14" ht="11.25">
      <c r="G52" s="30"/>
      <c r="K52" s="30"/>
      <c r="L52" s="30"/>
      <c r="N52" s="40"/>
    </row>
    <row r="53" spans="7:17" ht="11.25">
      <c r="G53" s="30"/>
      <c r="K53" s="30"/>
      <c r="L53" s="30"/>
      <c r="N53" s="36"/>
      <c r="P53" s="28"/>
      <c r="Q53" s="28"/>
    </row>
    <row r="54" spans="7:17" ht="11.25">
      <c r="G54" s="30"/>
      <c r="K54" s="30"/>
      <c r="L54" s="30"/>
      <c r="N54" s="37"/>
      <c r="P54" s="39"/>
      <c r="Q54" s="28"/>
    </row>
    <row r="55" spans="7:14" ht="11.25">
      <c r="G55" s="30"/>
      <c r="H55" s="30"/>
      <c r="K55" s="30"/>
      <c r="L55" s="30"/>
      <c r="N55" s="35"/>
    </row>
    <row r="57" spans="3:16" ht="11.25">
      <c r="C57" s="30" t="s">
        <v>13</v>
      </c>
      <c r="D57" s="28" t="s">
        <v>14</v>
      </c>
      <c r="E57" s="28"/>
      <c r="F57" s="28"/>
      <c r="G57" s="28"/>
      <c r="H57" s="28"/>
      <c r="I57" s="28"/>
      <c r="J57" s="28"/>
      <c r="K57" s="28"/>
      <c r="L57" s="28"/>
      <c r="M57" s="30" t="s">
        <v>15</v>
      </c>
      <c r="N57" s="30" t="s">
        <v>16</v>
      </c>
      <c r="P57" s="30"/>
    </row>
    <row r="58" spans="3:16" ht="11.25">
      <c r="C58" s="30" t="s">
        <v>17</v>
      </c>
      <c r="D58" s="30" t="s">
        <v>18</v>
      </c>
      <c r="E58" s="30" t="s">
        <v>19</v>
      </c>
      <c r="F58" s="30">
        <v>20</v>
      </c>
      <c r="G58" s="30">
        <v>40</v>
      </c>
      <c r="H58" s="30">
        <v>80</v>
      </c>
      <c r="I58" s="30">
        <v>120</v>
      </c>
      <c r="J58" s="30">
        <v>140</v>
      </c>
      <c r="K58" s="30">
        <v>160</v>
      </c>
      <c r="L58" s="30" t="s">
        <v>0</v>
      </c>
      <c r="M58" s="30" t="s">
        <v>20</v>
      </c>
      <c r="N58" s="30" t="s">
        <v>21</v>
      </c>
      <c r="O58" s="30"/>
      <c r="P58" s="30"/>
    </row>
    <row r="59" spans="3:16" ht="11.25">
      <c r="C59" s="30" t="s">
        <v>22</v>
      </c>
      <c r="D59" s="30" t="s">
        <v>22</v>
      </c>
      <c r="E59" s="30" t="s">
        <v>22</v>
      </c>
      <c r="F59" s="30" t="s">
        <v>22</v>
      </c>
      <c r="G59" s="30" t="s">
        <v>22</v>
      </c>
      <c r="H59" s="30" t="s">
        <v>22</v>
      </c>
      <c r="I59" s="30" t="s">
        <v>22</v>
      </c>
      <c r="J59" s="30" t="s">
        <v>22</v>
      </c>
      <c r="K59" s="30" t="s">
        <v>22</v>
      </c>
      <c r="L59" s="30" t="s">
        <v>22</v>
      </c>
      <c r="M59" s="30" t="s">
        <v>22</v>
      </c>
      <c r="O59" s="30"/>
      <c r="P59" s="30"/>
    </row>
    <row r="60" spans="3:16" ht="11.25">
      <c r="C60" s="30">
        <v>0.25</v>
      </c>
      <c r="D60" s="30">
        <v>0.364</v>
      </c>
      <c r="E60" s="30">
        <v>0.302</v>
      </c>
      <c r="F60" s="34" t="s">
        <v>23</v>
      </c>
      <c r="G60" s="30">
        <v>0.364</v>
      </c>
      <c r="H60" s="30">
        <v>0.302</v>
      </c>
      <c r="I60" s="34" t="s">
        <v>23</v>
      </c>
      <c r="J60" s="34" t="s">
        <v>23</v>
      </c>
      <c r="K60" s="34" t="s">
        <v>23</v>
      </c>
      <c r="L60" s="34">
        <v>0.18</v>
      </c>
      <c r="M60" s="30">
        <v>0.029</v>
      </c>
      <c r="N60" s="30">
        <v>0.75</v>
      </c>
      <c r="O60" s="30"/>
      <c r="P60" s="30"/>
    </row>
    <row r="61" spans="2:16" ht="11.25">
      <c r="B61" s="29"/>
      <c r="C61" s="30">
        <v>0.5</v>
      </c>
      <c r="D61" s="34">
        <v>0.622</v>
      </c>
      <c r="E61" s="34">
        <v>0.546</v>
      </c>
      <c r="F61" s="34" t="s">
        <v>23</v>
      </c>
      <c r="G61" s="34">
        <v>0.622</v>
      </c>
      <c r="H61" s="34">
        <v>0.546</v>
      </c>
      <c r="I61" s="34" t="s">
        <v>23</v>
      </c>
      <c r="J61" s="34" t="s">
        <v>23</v>
      </c>
      <c r="K61" s="34">
        <v>0.466</v>
      </c>
      <c r="L61" s="34">
        <v>0.402</v>
      </c>
      <c r="M61" s="30">
        <v>0.027</v>
      </c>
      <c r="N61" s="30">
        <v>1</v>
      </c>
      <c r="O61" s="30"/>
      <c r="P61" s="30"/>
    </row>
    <row r="62" spans="2:16" ht="11.25">
      <c r="B62" s="30"/>
      <c r="C62" s="30">
        <v>0.75</v>
      </c>
      <c r="D62" s="34">
        <v>0.824</v>
      </c>
      <c r="E62" s="34">
        <v>0.742</v>
      </c>
      <c r="F62" s="34" t="s">
        <v>23</v>
      </c>
      <c r="G62" s="34">
        <v>0.824</v>
      </c>
      <c r="H62" s="34">
        <v>0.742</v>
      </c>
      <c r="I62" s="34" t="s">
        <v>23</v>
      </c>
      <c r="J62" s="34" t="s">
        <v>23</v>
      </c>
      <c r="K62" s="34">
        <v>0.612</v>
      </c>
      <c r="L62" s="34">
        <v>0.62</v>
      </c>
      <c r="M62" s="30">
        <v>0.025</v>
      </c>
      <c r="N62" s="30">
        <v>1.5</v>
      </c>
      <c r="O62" s="30"/>
      <c r="P62" s="30"/>
    </row>
    <row r="63" spans="2:16" ht="11.25">
      <c r="B63" s="33"/>
      <c r="C63" s="30">
        <v>1</v>
      </c>
      <c r="D63" s="34">
        <v>1.049</v>
      </c>
      <c r="E63" s="34">
        <v>0.957</v>
      </c>
      <c r="F63" s="34" t="s">
        <v>23</v>
      </c>
      <c r="G63" s="34">
        <v>1.049</v>
      </c>
      <c r="H63" s="34">
        <v>0.957</v>
      </c>
      <c r="I63" s="34" t="s">
        <v>23</v>
      </c>
      <c r="J63" s="34" t="s">
        <v>23</v>
      </c>
      <c r="K63" s="34">
        <v>0.815</v>
      </c>
      <c r="L63" s="34">
        <v>0.87</v>
      </c>
      <c r="M63" s="30">
        <v>0.023</v>
      </c>
      <c r="N63" s="30">
        <v>2</v>
      </c>
      <c r="O63" s="30"/>
      <c r="P63" s="30"/>
    </row>
    <row r="64" spans="2:16" ht="11.25">
      <c r="B64" s="30"/>
      <c r="C64" s="30">
        <v>1.5</v>
      </c>
      <c r="D64" s="34">
        <v>1.61</v>
      </c>
      <c r="E64" s="34">
        <v>1.5</v>
      </c>
      <c r="F64" s="34" t="s">
        <v>23</v>
      </c>
      <c r="G64" s="34">
        <v>1.61</v>
      </c>
      <c r="H64" s="34">
        <v>1.5</v>
      </c>
      <c r="I64" s="34" t="s">
        <v>23</v>
      </c>
      <c r="J64" s="34" t="s">
        <v>23</v>
      </c>
      <c r="K64" s="34">
        <v>1.338</v>
      </c>
      <c r="L64" s="34" t="s">
        <v>23</v>
      </c>
      <c r="M64" s="30">
        <v>0.021</v>
      </c>
      <c r="N64" s="30">
        <v>2.5</v>
      </c>
      <c r="O64" s="30"/>
      <c r="P64" s="30"/>
    </row>
    <row r="65" spans="2:16" ht="11.25">
      <c r="B65" s="30"/>
      <c r="C65" s="30">
        <v>2</v>
      </c>
      <c r="D65" s="34">
        <v>2.067</v>
      </c>
      <c r="E65" s="34">
        <v>1.939</v>
      </c>
      <c r="F65" s="34" t="s">
        <v>23</v>
      </c>
      <c r="G65" s="34">
        <v>2.067</v>
      </c>
      <c r="H65" s="34">
        <v>1.939</v>
      </c>
      <c r="I65" s="34" t="s">
        <v>23</v>
      </c>
      <c r="J65" s="34" t="s">
        <v>23</v>
      </c>
      <c r="K65" s="34">
        <v>1.687</v>
      </c>
      <c r="L65" s="34" t="s">
        <v>23</v>
      </c>
      <c r="M65" s="30">
        <v>0.019</v>
      </c>
      <c r="N65" s="30">
        <v>3</v>
      </c>
      <c r="O65" s="30"/>
      <c r="P65" s="30"/>
    </row>
    <row r="66" spans="3:16" ht="11.25">
      <c r="C66" s="30">
        <v>2.5</v>
      </c>
      <c r="D66" s="34">
        <v>2.469</v>
      </c>
      <c r="E66" s="34">
        <v>2.323</v>
      </c>
      <c r="F66" s="34" t="s">
        <v>23</v>
      </c>
      <c r="G66" s="34">
        <v>2.469</v>
      </c>
      <c r="H66" s="34">
        <v>2.323</v>
      </c>
      <c r="I66" s="34" t="s">
        <v>23</v>
      </c>
      <c r="J66" s="34" t="s">
        <v>23</v>
      </c>
      <c r="K66" s="34">
        <v>2.125</v>
      </c>
      <c r="L66" s="34" t="s">
        <v>23</v>
      </c>
      <c r="M66" s="30">
        <v>0.018</v>
      </c>
      <c r="N66" s="30">
        <v>3.5</v>
      </c>
      <c r="O66" s="30"/>
      <c r="P66" s="30"/>
    </row>
    <row r="67" spans="3:16" ht="11.25">
      <c r="C67" s="30">
        <v>3</v>
      </c>
      <c r="D67" s="34">
        <v>3.068</v>
      </c>
      <c r="E67" s="34">
        <v>2.9</v>
      </c>
      <c r="F67" s="34" t="s">
        <v>23</v>
      </c>
      <c r="G67" s="34">
        <v>3.068</v>
      </c>
      <c r="H67" s="34">
        <v>2.9</v>
      </c>
      <c r="I67" s="34" t="s">
        <v>23</v>
      </c>
      <c r="J67" s="34" t="s">
        <v>23</v>
      </c>
      <c r="K67" s="34">
        <v>2.624</v>
      </c>
      <c r="L67" s="34" t="s">
        <v>23</v>
      </c>
      <c r="M67" s="30">
        <v>0.018</v>
      </c>
      <c r="N67" s="30">
        <v>3.5</v>
      </c>
      <c r="O67" s="30"/>
      <c r="P67" s="30"/>
    </row>
    <row r="68" spans="3:16" ht="11.25">
      <c r="C68" s="30">
        <v>4</v>
      </c>
      <c r="D68" s="34">
        <v>4.026</v>
      </c>
      <c r="E68" s="34">
        <v>3.825</v>
      </c>
      <c r="F68" s="34" t="s">
        <v>23</v>
      </c>
      <c r="G68" s="34">
        <v>4.026</v>
      </c>
      <c r="H68" s="34">
        <v>3.825</v>
      </c>
      <c r="I68" s="34">
        <v>3.624</v>
      </c>
      <c r="J68" s="34" t="s">
        <v>23</v>
      </c>
      <c r="K68" s="34">
        <v>3.438</v>
      </c>
      <c r="L68" s="34" t="s">
        <v>23</v>
      </c>
      <c r="M68" s="30">
        <v>0.017</v>
      </c>
      <c r="N68" s="30">
        <v>4</v>
      </c>
      <c r="O68" s="30"/>
      <c r="P68" s="30"/>
    </row>
    <row r="69" spans="3:16" ht="11.25">
      <c r="C69" s="30">
        <v>5</v>
      </c>
      <c r="D69" s="34">
        <v>5.047</v>
      </c>
      <c r="E69" s="34">
        <v>4.813</v>
      </c>
      <c r="F69" s="34" t="s">
        <v>23</v>
      </c>
      <c r="G69" s="34">
        <v>5.047</v>
      </c>
      <c r="H69" s="34">
        <v>4.813</v>
      </c>
      <c r="I69" s="34">
        <v>4.563</v>
      </c>
      <c r="J69" s="34" t="s">
        <v>23</v>
      </c>
      <c r="K69" s="34">
        <v>4.313</v>
      </c>
      <c r="L69" s="34" t="s">
        <v>23</v>
      </c>
      <c r="M69" s="30">
        <v>0.016</v>
      </c>
      <c r="N69" s="30">
        <v>5</v>
      </c>
      <c r="O69" s="30"/>
      <c r="P69" s="30"/>
    </row>
    <row r="70" spans="3:15" ht="11.25">
      <c r="C70" s="30">
        <v>6</v>
      </c>
      <c r="D70" s="34">
        <v>6.065</v>
      </c>
      <c r="E70" s="34">
        <v>5.761</v>
      </c>
      <c r="F70" s="34" t="s">
        <v>23</v>
      </c>
      <c r="G70" s="34">
        <v>6.065</v>
      </c>
      <c r="H70" s="34">
        <v>5.761</v>
      </c>
      <c r="I70" s="34">
        <v>5.501</v>
      </c>
      <c r="J70" s="34" t="s">
        <v>23</v>
      </c>
      <c r="K70" s="34">
        <v>5.187</v>
      </c>
      <c r="L70" s="34" t="s">
        <v>23</v>
      </c>
      <c r="M70" s="30">
        <v>0.015</v>
      </c>
      <c r="N70" s="30">
        <v>5.5</v>
      </c>
      <c r="O70" s="30"/>
    </row>
    <row r="71" spans="3:15" ht="11.25">
      <c r="C71" s="30">
        <v>8</v>
      </c>
      <c r="D71" s="34">
        <v>7.981</v>
      </c>
      <c r="E71" s="34">
        <v>7.625</v>
      </c>
      <c r="F71" s="34">
        <v>8.125</v>
      </c>
      <c r="G71" s="34">
        <v>7.981</v>
      </c>
      <c r="H71" s="34">
        <v>7.625</v>
      </c>
      <c r="I71" s="34">
        <v>7.187</v>
      </c>
      <c r="J71" s="34">
        <v>7.001</v>
      </c>
      <c r="K71" s="34">
        <v>6.813</v>
      </c>
      <c r="L71" s="34" t="s">
        <v>23</v>
      </c>
      <c r="M71" s="30">
        <v>0.014</v>
      </c>
      <c r="N71" s="30">
        <v>6</v>
      </c>
      <c r="O71" s="30"/>
    </row>
    <row r="72" spans="3:15" ht="11.25">
      <c r="C72" s="30">
        <v>10</v>
      </c>
      <c r="D72" s="34">
        <v>10.02</v>
      </c>
      <c r="E72" s="34">
        <v>9.75</v>
      </c>
      <c r="F72" s="34">
        <v>10.25</v>
      </c>
      <c r="G72" s="34">
        <v>10.02</v>
      </c>
      <c r="H72" s="34">
        <v>9.562</v>
      </c>
      <c r="I72" s="34">
        <v>9.062</v>
      </c>
      <c r="J72" s="34">
        <v>8.75</v>
      </c>
      <c r="K72" s="34">
        <v>8.5</v>
      </c>
      <c r="L72" s="34" t="s">
        <v>23</v>
      </c>
      <c r="M72" s="30">
        <v>0.014</v>
      </c>
      <c r="N72" s="30">
        <v>7</v>
      </c>
      <c r="O72" s="30"/>
    </row>
    <row r="73" spans="3:15" ht="11.25">
      <c r="C73" s="30">
        <v>12</v>
      </c>
      <c r="D73" s="34">
        <v>12</v>
      </c>
      <c r="E73" s="34">
        <v>11.75</v>
      </c>
      <c r="F73" s="34">
        <v>12.25</v>
      </c>
      <c r="G73" s="34">
        <v>11.938</v>
      </c>
      <c r="H73" s="34">
        <v>11.374</v>
      </c>
      <c r="I73" s="34">
        <v>10.75</v>
      </c>
      <c r="J73" s="34">
        <v>10.5</v>
      </c>
      <c r="K73" s="34">
        <v>10.126</v>
      </c>
      <c r="L73" s="34" t="s">
        <v>23</v>
      </c>
      <c r="M73" s="30">
        <v>0.013</v>
      </c>
      <c r="N73" s="30">
        <v>8</v>
      </c>
      <c r="O73" s="30"/>
    </row>
    <row r="74" spans="3:15" ht="11.25">
      <c r="C74" s="30">
        <v>14</v>
      </c>
      <c r="D74" s="34">
        <v>13.25</v>
      </c>
      <c r="E74" s="34">
        <v>13</v>
      </c>
      <c r="F74" s="34">
        <v>13.376</v>
      </c>
      <c r="G74" s="34">
        <v>13.124</v>
      </c>
      <c r="H74" s="34">
        <v>12.5</v>
      </c>
      <c r="I74" s="34">
        <v>11.812</v>
      </c>
      <c r="J74" s="34">
        <v>11.5</v>
      </c>
      <c r="K74" s="34">
        <v>11.188</v>
      </c>
      <c r="L74" s="34" t="s">
        <v>23</v>
      </c>
      <c r="M74" s="30">
        <v>0.013</v>
      </c>
      <c r="N74" s="30">
        <v>13</v>
      </c>
      <c r="O74" s="30"/>
    </row>
    <row r="75" spans="3:15" ht="11.25">
      <c r="C75" s="30">
        <v>16</v>
      </c>
      <c r="D75" s="34">
        <v>15.25</v>
      </c>
      <c r="E75" s="34">
        <v>15</v>
      </c>
      <c r="F75" s="34">
        <v>15.376</v>
      </c>
      <c r="G75" s="34">
        <v>15</v>
      </c>
      <c r="H75" s="34">
        <v>14.312</v>
      </c>
      <c r="I75" s="34">
        <v>13.562</v>
      </c>
      <c r="J75" s="34">
        <v>13.124</v>
      </c>
      <c r="K75" s="34">
        <v>12.812</v>
      </c>
      <c r="L75" s="34" t="s">
        <v>23</v>
      </c>
      <c r="M75" s="30">
        <v>0.013</v>
      </c>
      <c r="N75" s="30">
        <v>14</v>
      </c>
      <c r="O75" s="30"/>
    </row>
    <row r="76" spans="3:15" ht="11.25">
      <c r="C76" s="30">
        <v>18</v>
      </c>
      <c r="D76" s="34">
        <v>17.25</v>
      </c>
      <c r="E76" s="34">
        <v>17</v>
      </c>
      <c r="F76" s="34">
        <v>17.376</v>
      </c>
      <c r="G76" s="34">
        <v>16.876</v>
      </c>
      <c r="H76" s="34">
        <v>16.124</v>
      </c>
      <c r="I76" s="34">
        <v>15.25</v>
      </c>
      <c r="J76" s="34">
        <v>14.876</v>
      </c>
      <c r="K76" s="34">
        <v>14.438</v>
      </c>
      <c r="L76" s="34" t="s">
        <v>23</v>
      </c>
      <c r="M76" s="30">
        <v>0.012</v>
      </c>
      <c r="N76" s="30">
        <v>15</v>
      </c>
      <c r="O76" s="30"/>
    </row>
    <row r="77" spans="3:15" ht="11.25">
      <c r="C77" s="30">
        <v>20</v>
      </c>
      <c r="D77" s="34">
        <v>19.25</v>
      </c>
      <c r="E77" s="34">
        <v>19</v>
      </c>
      <c r="F77" s="34">
        <v>19.25</v>
      </c>
      <c r="G77" s="34">
        <v>18.812</v>
      </c>
      <c r="H77" s="34">
        <v>17.938</v>
      </c>
      <c r="I77" s="34">
        <v>17</v>
      </c>
      <c r="J77" s="34">
        <v>16.5</v>
      </c>
      <c r="K77" s="34">
        <v>16.062</v>
      </c>
      <c r="L77" s="34" t="s">
        <v>23</v>
      </c>
      <c r="M77" s="30">
        <v>0.012</v>
      </c>
      <c r="N77" s="30">
        <v>20</v>
      </c>
      <c r="O77" s="30"/>
    </row>
    <row r="78" spans="3:15" ht="11.25">
      <c r="C78" s="30">
        <v>22</v>
      </c>
      <c r="D78" s="34">
        <v>21.25</v>
      </c>
      <c r="E78" s="34">
        <v>21</v>
      </c>
      <c r="F78" s="34">
        <v>21.25</v>
      </c>
      <c r="G78" s="34" t="s">
        <v>23</v>
      </c>
      <c r="H78" s="34">
        <v>19.75</v>
      </c>
      <c r="I78" s="34">
        <v>18.75</v>
      </c>
      <c r="J78" s="34">
        <v>18.25</v>
      </c>
      <c r="K78" s="34">
        <v>17.75</v>
      </c>
      <c r="L78" s="34" t="s">
        <v>23</v>
      </c>
      <c r="M78" s="30">
        <v>0.012</v>
      </c>
      <c r="N78" s="30">
        <v>22</v>
      </c>
      <c r="O78" s="30"/>
    </row>
    <row r="79" spans="3:15" ht="11.25">
      <c r="C79" s="30">
        <v>24</v>
      </c>
      <c r="D79" s="34">
        <v>23.25</v>
      </c>
      <c r="E79" s="34">
        <v>23</v>
      </c>
      <c r="F79" s="34">
        <v>23.25</v>
      </c>
      <c r="G79" s="34">
        <v>22.624</v>
      </c>
      <c r="H79" s="34">
        <v>21.562</v>
      </c>
      <c r="I79" s="34">
        <v>20.376</v>
      </c>
      <c r="J79" s="34">
        <v>19.867</v>
      </c>
      <c r="K79" s="34">
        <v>19.312</v>
      </c>
      <c r="L79" s="34" t="s">
        <v>23</v>
      </c>
      <c r="M79" s="30">
        <v>0.012</v>
      </c>
      <c r="N79" s="30">
        <v>24</v>
      </c>
      <c r="O79" s="30"/>
    </row>
    <row r="80" spans="3:15" ht="11.25">
      <c r="C80" s="30">
        <v>26</v>
      </c>
      <c r="D80" s="34">
        <v>25.25</v>
      </c>
      <c r="E80" s="34">
        <v>25</v>
      </c>
      <c r="F80" s="34">
        <v>25</v>
      </c>
      <c r="G80" s="34" t="s">
        <v>23</v>
      </c>
      <c r="H80" s="34" t="s">
        <v>23</v>
      </c>
      <c r="I80" s="34" t="s">
        <v>23</v>
      </c>
      <c r="J80" s="34" t="s">
        <v>23</v>
      </c>
      <c r="K80" s="34" t="s">
        <v>23</v>
      </c>
      <c r="L80" s="34" t="s">
        <v>23</v>
      </c>
      <c r="M80" s="30">
        <v>0.012</v>
      </c>
      <c r="N80" s="30">
        <v>26</v>
      </c>
      <c r="O80" s="30"/>
    </row>
    <row r="81" spans="3:15" ht="11.25">
      <c r="C81" s="30">
        <v>28</v>
      </c>
      <c r="D81" s="34">
        <v>27.25</v>
      </c>
      <c r="E81" s="34">
        <v>27</v>
      </c>
      <c r="F81" s="34">
        <v>27</v>
      </c>
      <c r="G81" s="34" t="s">
        <v>23</v>
      </c>
      <c r="H81" s="34" t="s">
        <v>23</v>
      </c>
      <c r="I81" s="34" t="s">
        <v>23</v>
      </c>
      <c r="J81" s="34" t="s">
        <v>23</v>
      </c>
      <c r="K81" s="34" t="s">
        <v>23</v>
      </c>
      <c r="L81" s="34" t="s">
        <v>23</v>
      </c>
      <c r="M81" s="30">
        <v>0.012</v>
      </c>
      <c r="N81" s="30">
        <v>28</v>
      </c>
      <c r="O81" s="30"/>
    </row>
    <row r="82" spans="3:15" ht="11.25">
      <c r="C82" s="30">
        <v>30</v>
      </c>
      <c r="D82" s="34">
        <v>29.25</v>
      </c>
      <c r="E82" s="34">
        <v>29</v>
      </c>
      <c r="F82" s="34">
        <v>29</v>
      </c>
      <c r="G82" s="34" t="s">
        <v>23</v>
      </c>
      <c r="H82" s="34" t="s">
        <v>23</v>
      </c>
      <c r="I82" s="34" t="s">
        <v>23</v>
      </c>
      <c r="J82" s="34" t="s">
        <v>23</v>
      </c>
      <c r="K82" s="34" t="s">
        <v>23</v>
      </c>
      <c r="L82" s="34" t="s">
        <v>23</v>
      </c>
      <c r="M82" s="30">
        <v>0.012</v>
      </c>
      <c r="N82" s="30">
        <v>30</v>
      </c>
      <c r="O82" s="30"/>
    </row>
    <row r="83" spans="3:15" ht="11.25">
      <c r="C83" s="30">
        <v>32</v>
      </c>
      <c r="D83" s="34">
        <v>31.25</v>
      </c>
      <c r="E83" s="34">
        <v>31</v>
      </c>
      <c r="F83" s="34">
        <v>31</v>
      </c>
      <c r="G83" s="34">
        <v>30.624</v>
      </c>
      <c r="H83" s="34" t="s">
        <v>23</v>
      </c>
      <c r="I83" s="34" t="s">
        <v>23</v>
      </c>
      <c r="J83" s="34" t="s">
        <v>23</v>
      </c>
      <c r="K83" s="34" t="s">
        <v>23</v>
      </c>
      <c r="L83" s="34" t="s">
        <v>23</v>
      </c>
      <c r="M83" s="30">
        <v>0.012</v>
      </c>
      <c r="N83" s="30">
        <v>32</v>
      </c>
      <c r="O83" s="30"/>
    </row>
    <row r="84" spans="3:15" ht="11.25">
      <c r="C84" s="30">
        <v>34</v>
      </c>
      <c r="D84" s="34">
        <v>33.25</v>
      </c>
      <c r="E84" s="34">
        <v>33</v>
      </c>
      <c r="F84" s="34">
        <v>33</v>
      </c>
      <c r="G84" s="34">
        <v>32.624</v>
      </c>
      <c r="H84" s="34" t="s">
        <v>23</v>
      </c>
      <c r="I84" s="34" t="s">
        <v>23</v>
      </c>
      <c r="J84" s="34" t="s">
        <v>23</v>
      </c>
      <c r="K84" s="34" t="s">
        <v>23</v>
      </c>
      <c r="L84" s="34" t="s">
        <v>23</v>
      </c>
      <c r="M84" s="30">
        <v>0.012</v>
      </c>
      <c r="N84" s="30">
        <v>34</v>
      </c>
      <c r="O84" s="30"/>
    </row>
    <row r="85" spans="3:15" ht="11.25">
      <c r="C85" s="30">
        <v>36</v>
      </c>
      <c r="D85" s="34">
        <v>35.25</v>
      </c>
      <c r="E85" s="34">
        <v>35</v>
      </c>
      <c r="F85" s="34">
        <v>35</v>
      </c>
      <c r="G85" s="34">
        <v>34.5</v>
      </c>
      <c r="H85" s="34" t="s">
        <v>23</v>
      </c>
      <c r="I85" s="34" t="s">
        <v>23</v>
      </c>
      <c r="J85" s="34" t="s">
        <v>23</v>
      </c>
      <c r="K85" s="34" t="s">
        <v>23</v>
      </c>
      <c r="L85" s="34" t="s">
        <v>23</v>
      </c>
      <c r="M85" s="30">
        <v>0.012</v>
      </c>
      <c r="N85" s="30">
        <v>36</v>
      </c>
      <c r="O85" s="30"/>
    </row>
  </sheetData>
  <mergeCells count="3">
    <mergeCell ref="A13:A17"/>
    <mergeCell ref="A25:A28"/>
    <mergeCell ref="A29:A31"/>
  </mergeCells>
  <printOptions/>
  <pageMargins left="0.31" right="0.44" top="0.24" bottom="0.71" header="0.06" footer="0.5"/>
  <pageSetup fitToHeight="1" fitToWidth="1" horizontalDpi="600" verticalDpi="600" orientation="portrait" r:id="rId2"/>
  <headerFooter alignWithMargins="0">
    <oddFooter>&amp;L&amp;F - &amp;A&amp;R&amp;D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11">
    <pageSetUpPr fitToPage="1"/>
  </sheetPr>
  <dimension ref="A1:L92"/>
  <sheetViews>
    <sheetView workbookViewId="0" topLeftCell="A1">
      <selection activeCell="K31" sqref="K31"/>
    </sheetView>
  </sheetViews>
  <sheetFormatPr defaultColWidth="9.140625" defaultRowHeight="12.75"/>
  <cols>
    <col min="1" max="1" width="26.28125" style="0" customWidth="1"/>
    <col min="2" max="3" width="11.7109375" style="0" customWidth="1"/>
    <col min="5" max="7" width="11.7109375" style="0" customWidth="1"/>
  </cols>
  <sheetData>
    <row r="1" spans="1:7" ht="51" customHeight="1">
      <c r="A1" s="3" t="s">
        <v>34</v>
      </c>
      <c r="B1" s="97" t="s">
        <v>156</v>
      </c>
      <c r="C1" s="98"/>
      <c r="E1" s="51"/>
      <c r="F1" s="51"/>
      <c r="G1" s="51"/>
    </row>
    <row r="2" spans="1:7" ht="12.75">
      <c r="A2" s="4" t="s">
        <v>25</v>
      </c>
      <c r="B2" s="47"/>
      <c r="C2" s="4"/>
      <c r="E2" s="47"/>
      <c r="F2" s="47"/>
      <c r="G2" s="47"/>
    </row>
    <row r="3" spans="1:12" ht="15">
      <c r="A3" s="5" t="s">
        <v>38</v>
      </c>
      <c r="B3" s="50">
        <v>23</v>
      </c>
      <c r="C3" s="50">
        <v>40</v>
      </c>
      <c r="D3" s="50">
        <v>40</v>
      </c>
      <c r="E3" s="50">
        <v>40</v>
      </c>
      <c r="F3" s="50">
        <v>40</v>
      </c>
      <c r="G3" s="50">
        <v>40</v>
      </c>
      <c r="H3" s="50">
        <v>92.7</v>
      </c>
      <c r="I3" s="50">
        <v>24.7</v>
      </c>
      <c r="J3" s="88">
        <v>17.65090616121361</v>
      </c>
      <c r="K3" s="50">
        <v>24.7</v>
      </c>
      <c r="L3" s="50">
        <v>24.7</v>
      </c>
    </row>
    <row r="4" spans="1:12" ht="15">
      <c r="A4" s="5" t="s">
        <v>39</v>
      </c>
      <c r="B4" s="50">
        <v>15</v>
      </c>
      <c r="C4" s="88">
        <v>39.42283189062133</v>
      </c>
      <c r="D4" s="50">
        <v>38</v>
      </c>
      <c r="E4" s="88">
        <v>39.9145802591003</v>
      </c>
      <c r="F4" s="88">
        <v>39.66571264022617</v>
      </c>
      <c r="G4" s="88">
        <v>39.903622813421634</v>
      </c>
      <c r="H4" s="88">
        <v>92.61743712626357</v>
      </c>
      <c r="I4" s="88">
        <v>23.458741542543194</v>
      </c>
      <c r="J4" s="50">
        <v>14.6</v>
      </c>
      <c r="K4" s="88">
        <v>21.247935280425978</v>
      </c>
      <c r="L4" s="88">
        <v>24.235246245734402</v>
      </c>
    </row>
    <row r="5" spans="1:12" ht="15">
      <c r="A5" s="5" t="s">
        <v>26</v>
      </c>
      <c r="B5" s="50">
        <v>200</v>
      </c>
      <c r="C5" s="50">
        <v>200</v>
      </c>
      <c r="D5" s="50">
        <v>200</v>
      </c>
      <c r="E5" s="50">
        <v>132.55</v>
      </c>
      <c r="F5" s="50">
        <v>119</v>
      </c>
      <c r="G5" s="50">
        <v>119</v>
      </c>
      <c r="H5" s="50">
        <v>24</v>
      </c>
      <c r="I5" s="50">
        <v>24</v>
      </c>
      <c r="J5" s="50">
        <v>24</v>
      </c>
      <c r="K5" s="50">
        <v>24</v>
      </c>
      <c r="L5" s="50">
        <v>24</v>
      </c>
    </row>
    <row r="6" spans="1:12" ht="12.75">
      <c r="A6" s="5" t="s">
        <v>40</v>
      </c>
      <c r="B6" s="48">
        <v>555.06</v>
      </c>
      <c r="C6" s="48">
        <v>555.06</v>
      </c>
      <c r="D6" s="48">
        <v>555.06</v>
      </c>
      <c r="E6" s="48">
        <v>553.8</v>
      </c>
      <c r="F6" s="48">
        <v>553.8</v>
      </c>
      <c r="G6" s="48">
        <v>553.8</v>
      </c>
      <c r="H6" s="48">
        <v>253</v>
      </c>
      <c r="I6" s="48">
        <v>253</v>
      </c>
      <c r="J6" s="48">
        <v>253</v>
      </c>
      <c r="K6" s="48">
        <v>253</v>
      </c>
      <c r="L6" s="48">
        <v>253</v>
      </c>
    </row>
    <row r="7" spans="1:12" ht="12.75">
      <c r="A7" s="5" t="s">
        <v>98</v>
      </c>
      <c r="B7" s="48">
        <v>41.94</v>
      </c>
      <c r="C7" s="48">
        <v>41.94</v>
      </c>
      <c r="D7" s="48">
        <v>41.94</v>
      </c>
      <c r="E7" s="48">
        <v>1</v>
      </c>
      <c r="F7" s="48">
        <v>0.96</v>
      </c>
      <c r="G7" s="48">
        <v>0.96</v>
      </c>
      <c r="H7" s="48">
        <v>1</v>
      </c>
      <c r="I7" s="48">
        <v>1</v>
      </c>
      <c r="J7" s="48">
        <v>1</v>
      </c>
      <c r="K7" s="48">
        <v>1</v>
      </c>
      <c r="L7" s="48">
        <v>1</v>
      </c>
    </row>
    <row r="8" spans="1:12" s="23" customFormat="1" ht="12.75">
      <c r="A8" s="22" t="s">
        <v>41</v>
      </c>
      <c r="B8" s="49">
        <v>495977.01832043764</v>
      </c>
      <c r="C8" s="49">
        <v>236250</v>
      </c>
      <c r="D8" s="49">
        <v>442326.2057406683</v>
      </c>
      <c r="E8" s="49">
        <v>8647.23</v>
      </c>
      <c r="F8" s="49">
        <v>18145</v>
      </c>
      <c r="G8" s="49">
        <v>18145</v>
      </c>
      <c r="H8" s="92">
        <v>0.01167</v>
      </c>
      <c r="I8" s="92">
        <v>0.0233</v>
      </c>
      <c r="J8" s="92">
        <v>0.7</v>
      </c>
      <c r="K8" s="92">
        <v>0.7</v>
      </c>
      <c r="L8" s="92">
        <v>0.7</v>
      </c>
    </row>
    <row r="9" spans="1:12" ht="12.75">
      <c r="A9" s="7" t="s">
        <v>102</v>
      </c>
      <c r="B9" s="8" t="s">
        <v>29</v>
      </c>
      <c r="C9" s="8" t="s">
        <v>29</v>
      </c>
      <c r="D9" s="8" t="s">
        <v>29</v>
      </c>
      <c r="E9" s="8" t="s">
        <v>29</v>
      </c>
      <c r="F9" s="8" t="s">
        <v>29</v>
      </c>
      <c r="G9" s="8" t="s">
        <v>29</v>
      </c>
      <c r="H9" s="8" t="s">
        <v>195</v>
      </c>
      <c r="I9" s="8" t="s">
        <v>195</v>
      </c>
      <c r="J9" s="8" t="s">
        <v>195</v>
      </c>
      <c r="K9" s="8" t="s">
        <v>195</v>
      </c>
      <c r="L9" s="8" t="s">
        <v>195</v>
      </c>
    </row>
    <row r="10" spans="1:12" ht="12.75">
      <c r="A10" s="5" t="s">
        <v>35</v>
      </c>
      <c r="B10" s="48">
        <v>0.24</v>
      </c>
      <c r="C10" s="48">
        <v>0.24</v>
      </c>
      <c r="D10" s="48">
        <v>0.24</v>
      </c>
      <c r="E10" s="48">
        <v>0.012</v>
      </c>
      <c r="F10" s="48">
        <v>0.012</v>
      </c>
      <c r="G10" s="48">
        <v>0.012</v>
      </c>
      <c r="H10" s="48">
        <v>0.012</v>
      </c>
      <c r="I10" s="48">
        <v>0.012</v>
      </c>
      <c r="J10" s="48">
        <v>0.012</v>
      </c>
      <c r="K10" s="48">
        <v>0.012</v>
      </c>
      <c r="L10" s="48">
        <v>0.012</v>
      </c>
    </row>
    <row r="11" spans="1:12" ht="12.75">
      <c r="A11" s="7" t="s">
        <v>43</v>
      </c>
      <c r="B11" s="58">
        <v>6</v>
      </c>
      <c r="C11" s="58">
        <v>5</v>
      </c>
      <c r="D11" s="58">
        <v>6</v>
      </c>
      <c r="E11" s="58">
        <v>2</v>
      </c>
      <c r="F11" s="58">
        <v>2</v>
      </c>
      <c r="G11" s="58">
        <v>2</v>
      </c>
      <c r="H11" s="58">
        <v>2</v>
      </c>
      <c r="I11" s="58">
        <v>2</v>
      </c>
      <c r="J11" s="58">
        <v>1</v>
      </c>
      <c r="K11" s="58">
        <v>2</v>
      </c>
      <c r="L11" s="58">
        <v>2</v>
      </c>
    </row>
    <row r="12" spans="1:12" ht="12.75">
      <c r="A12" s="9" t="s">
        <v>44</v>
      </c>
      <c r="B12" s="59">
        <v>0.00015</v>
      </c>
      <c r="C12" s="59">
        <v>0.00015</v>
      </c>
      <c r="D12" s="59">
        <v>0.00015</v>
      </c>
      <c r="E12" s="59">
        <v>0.00015</v>
      </c>
      <c r="F12" s="59">
        <v>0.00015</v>
      </c>
      <c r="G12" s="59">
        <v>0.00015</v>
      </c>
      <c r="H12" s="59">
        <v>0.00015</v>
      </c>
      <c r="I12" s="59">
        <v>0.00015</v>
      </c>
      <c r="J12" s="59">
        <v>0.00015</v>
      </c>
      <c r="K12" s="59">
        <v>0.00015</v>
      </c>
      <c r="L12" s="59">
        <v>0.00015</v>
      </c>
    </row>
    <row r="13" spans="1:12" s="2" customFormat="1" ht="12.75">
      <c r="A13" s="12" t="s">
        <v>45</v>
      </c>
      <c r="B13" s="60">
        <v>1</v>
      </c>
      <c r="C13" s="60">
        <v>4</v>
      </c>
      <c r="D13" s="60">
        <v>4</v>
      </c>
      <c r="E13" s="60">
        <v>0</v>
      </c>
      <c r="F13" s="60">
        <v>1.5</v>
      </c>
      <c r="G13" s="60">
        <v>1.5</v>
      </c>
      <c r="H13" s="60">
        <v>1.5</v>
      </c>
      <c r="I13" s="60">
        <v>1.5</v>
      </c>
      <c r="J13" s="60">
        <v>1.5</v>
      </c>
      <c r="K13" s="60">
        <v>1.5</v>
      </c>
      <c r="L13" s="60">
        <v>1.5</v>
      </c>
    </row>
    <row r="14" spans="1:12" ht="12.75">
      <c r="A14" s="7" t="s">
        <v>46</v>
      </c>
      <c r="B14" s="58">
        <v>2</v>
      </c>
      <c r="C14" s="58">
        <v>2</v>
      </c>
      <c r="D14" s="58">
        <v>2</v>
      </c>
      <c r="E14" s="58">
        <v>2</v>
      </c>
      <c r="F14" s="58">
        <v>2</v>
      </c>
      <c r="G14" s="58">
        <v>2</v>
      </c>
      <c r="H14" s="58">
        <v>1</v>
      </c>
      <c r="I14" s="58">
        <v>1</v>
      </c>
      <c r="J14" s="58">
        <v>1</v>
      </c>
      <c r="K14" s="58">
        <v>1</v>
      </c>
      <c r="L14" s="58">
        <v>1</v>
      </c>
    </row>
    <row r="15" spans="1:12" ht="12.75">
      <c r="A15" s="7" t="s">
        <v>47</v>
      </c>
      <c r="B15" s="58">
        <v>2</v>
      </c>
      <c r="C15" s="58">
        <v>2</v>
      </c>
      <c r="D15" s="58">
        <v>2</v>
      </c>
      <c r="E15" s="58">
        <v>2</v>
      </c>
      <c r="F15" s="58">
        <v>2</v>
      </c>
      <c r="G15" s="58">
        <v>2</v>
      </c>
      <c r="H15" s="58">
        <v>1</v>
      </c>
      <c r="I15" s="58">
        <v>1</v>
      </c>
      <c r="J15" s="58">
        <v>1</v>
      </c>
      <c r="K15" s="58">
        <v>1</v>
      </c>
      <c r="L15" s="58">
        <v>1</v>
      </c>
    </row>
    <row r="16" spans="1:12" ht="12.75">
      <c r="A16" s="7" t="s">
        <v>48</v>
      </c>
      <c r="B16" s="58">
        <v>5</v>
      </c>
      <c r="C16" s="58">
        <v>100</v>
      </c>
      <c r="D16" s="58">
        <v>100</v>
      </c>
      <c r="E16" s="58">
        <v>10</v>
      </c>
      <c r="F16" s="58">
        <v>20</v>
      </c>
      <c r="G16" s="58">
        <v>20</v>
      </c>
      <c r="H16" s="58">
        <v>6</v>
      </c>
      <c r="I16" s="58">
        <v>6</v>
      </c>
      <c r="J16" s="58">
        <v>6</v>
      </c>
      <c r="K16" s="58">
        <v>20</v>
      </c>
      <c r="L16" s="58">
        <v>20</v>
      </c>
    </row>
    <row r="17" spans="1:12" ht="12.75">
      <c r="A17" s="5" t="s">
        <v>49</v>
      </c>
      <c r="B17" s="48">
        <v>4</v>
      </c>
      <c r="C17" s="48">
        <v>7.981</v>
      </c>
      <c r="D17" s="48">
        <v>7.981</v>
      </c>
      <c r="E17" s="48">
        <v>4</v>
      </c>
      <c r="F17" s="48">
        <v>6</v>
      </c>
      <c r="G17" s="48">
        <v>8</v>
      </c>
      <c r="H17" s="48">
        <v>0.505</v>
      </c>
      <c r="I17" s="48">
        <v>0.505</v>
      </c>
      <c r="J17" s="48">
        <v>2</v>
      </c>
      <c r="K17" s="48">
        <v>2</v>
      </c>
      <c r="L17" s="48">
        <v>3</v>
      </c>
    </row>
    <row r="18" spans="1:12" ht="12.75">
      <c r="A18" s="5" t="s">
        <v>50</v>
      </c>
      <c r="B18" s="48">
        <v>4</v>
      </c>
      <c r="C18" s="48">
        <v>7.981</v>
      </c>
      <c r="D18" s="48">
        <v>7.981</v>
      </c>
      <c r="E18" s="48">
        <v>4</v>
      </c>
      <c r="F18" s="48">
        <v>6</v>
      </c>
      <c r="G18" s="48">
        <v>8</v>
      </c>
      <c r="H18" s="48">
        <v>0.505</v>
      </c>
      <c r="I18" s="48">
        <v>0.505</v>
      </c>
      <c r="J18" s="48">
        <v>2</v>
      </c>
      <c r="K18" s="48">
        <v>2</v>
      </c>
      <c r="L18" s="48">
        <v>3</v>
      </c>
    </row>
    <row r="19" spans="1:12" ht="12.75">
      <c r="A19" s="5" t="s">
        <v>105</v>
      </c>
      <c r="B19" s="57">
        <v>41.94</v>
      </c>
      <c r="C19" s="57">
        <v>41.94</v>
      </c>
      <c r="D19" s="57">
        <v>41.94</v>
      </c>
      <c r="E19" s="57">
        <v>1</v>
      </c>
      <c r="F19" s="57">
        <v>0.96</v>
      </c>
      <c r="G19" s="57">
        <v>0.96</v>
      </c>
      <c r="H19" s="57">
        <v>1</v>
      </c>
      <c r="I19" s="57">
        <v>1</v>
      </c>
      <c r="J19" s="57">
        <v>1</v>
      </c>
      <c r="K19" s="57">
        <v>1</v>
      </c>
      <c r="L19" s="57">
        <v>1</v>
      </c>
    </row>
    <row r="20" spans="1:12" ht="12.75">
      <c r="A20" t="s">
        <v>99</v>
      </c>
      <c r="B20" s="68">
        <v>1.25</v>
      </c>
      <c r="C20" s="68">
        <v>1.25</v>
      </c>
      <c r="D20" s="68">
        <v>1.25</v>
      </c>
      <c r="E20" s="68">
        <v>1.25</v>
      </c>
      <c r="F20" s="68">
        <v>1.25</v>
      </c>
      <c r="G20" s="68">
        <v>1.25</v>
      </c>
      <c r="H20" s="68">
        <v>1</v>
      </c>
      <c r="I20" s="68">
        <v>1</v>
      </c>
      <c r="J20" s="68">
        <v>1</v>
      </c>
      <c r="K20" s="68">
        <v>1</v>
      </c>
      <c r="L20" s="68">
        <v>1</v>
      </c>
    </row>
    <row r="21" spans="1:12" ht="12.75">
      <c r="A21" s="4" t="s">
        <v>27</v>
      </c>
      <c r="B21" s="87"/>
      <c r="C21" s="87"/>
      <c r="D21" s="87"/>
      <c r="E21" s="87"/>
      <c r="F21" s="87"/>
      <c r="G21" s="87"/>
      <c r="H21" s="68"/>
      <c r="I21" s="68"/>
      <c r="J21" s="68"/>
      <c r="K21" s="68"/>
      <c r="L21" s="68"/>
    </row>
    <row r="22" spans="1:12" ht="12.75">
      <c r="A22" s="5" t="s">
        <v>38</v>
      </c>
      <c r="B22" s="56">
        <v>23</v>
      </c>
      <c r="C22" s="56">
        <v>40</v>
      </c>
      <c r="D22" s="56">
        <v>40</v>
      </c>
      <c r="E22" s="56">
        <v>40</v>
      </c>
      <c r="F22" s="56">
        <v>40</v>
      </c>
      <c r="G22" s="56">
        <v>40</v>
      </c>
      <c r="H22" s="68">
        <v>92.7</v>
      </c>
      <c r="I22" s="68">
        <v>24.7</v>
      </c>
      <c r="J22" s="68">
        <v>17.65090616121361</v>
      </c>
      <c r="K22" s="68">
        <v>24.7</v>
      </c>
      <c r="L22" s="68">
        <v>24.7</v>
      </c>
    </row>
    <row r="23" spans="1:12" ht="12.75">
      <c r="A23" s="10" t="s">
        <v>39</v>
      </c>
      <c r="B23" s="61">
        <v>15</v>
      </c>
      <c r="C23" s="61">
        <v>39.42283189062133</v>
      </c>
      <c r="D23" s="61">
        <v>38</v>
      </c>
      <c r="E23" s="61">
        <v>39.9145802591003</v>
      </c>
      <c r="F23" s="61">
        <v>39.66571264022617</v>
      </c>
      <c r="G23" s="61">
        <v>39.903622813421634</v>
      </c>
      <c r="H23" s="68">
        <v>92.61743712626357</v>
      </c>
      <c r="I23" s="68">
        <v>23.458741542543194</v>
      </c>
      <c r="J23" s="68">
        <v>14.6</v>
      </c>
      <c r="K23" s="68">
        <v>21.247935280425978</v>
      </c>
      <c r="L23" s="68">
        <v>24.235246245734402</v>
      </c>
    </row>
    <row r="24" spans="1:12" ht="12.75">
      <c r="A24" s="12" t="s">
        <v>29</v>
      </c>
      <c r="B24" s="62">
        <v>495977.01832043764</v>
      </c>
      <c r="C24" s="62">
        <v>236250</v>
      </c>
      <c r="D24" s="62">
        <v>442326.2057406683</v>
      </c>
      <c r="E24" s="62">
        <v>8647.23</v>
      </c>
      <c r="F24" s="62">
        <v>18145</v>
      </c>
      <c r="G24" s="62">
        <v>18145</v>
      </c>
      <c r="H24" s="68">
        <v>30.75098814229249</v>
      </c>
      <c r="I24" s="68">
        <v>61.3965744400527</v>
      </c>
      <c r="J24" s="68">
        <v>1844.532279314888</v>
      </c>
      <c r="K24" s="68">
        <v>1844.532279314888</v>
      </c>
      <c r="L24" s="68">
        <v>1844.532279314888</v>
      </c>
    </row>
    <row r="25" spans="1:12" s="19" customFormat="1" ht="12.75">
      <c r="A25" s="6" t="s">
        <v>51</v>
      </c>
      <c r="B25" s="21">
        <v>8</v>
      </c>
      <c r="C25" s="21">
        <v>0.5771681093786671</v>
      </c>
      <c r="D25" s="21">
        <v>2</v>
      </c>
      <c r="E25" s="21">
        <v>0.08541974089970239</v>
      </c>
      <c r="F25" s="21">
        <v>0.33428735977383184</v>
      </c>
      <c r="G25" s="21">
        <v>0.09637718657836558</v>
      </c>
      <c r="H25" s="93">
        <v>0.08256287373643545</v>
      </c>
      <c r="I25" s="93">
        <v>1.241258457456805</v>
      </c>
      <c r="J25" s="93">
        <v>3.050906161213609</v>
      </c>
      <c r="K25" s="93">
        <v>3.4520647195740217</v>
      </c>
      <c r="L25" s="93">
        <v>0.4647537542655975</v>
      </c>
    </row>
    <row r="26" spans="1:12" ht="12.75">
      <c r="A26" s="6" t="s">
        <v>52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68">
        <v>0</v>
      </c>
      <c r="I26" s="68">
        <v>0.01107649023568737</v>
      </c>
      <c r="J26" s="68">
        <v>0.22458480427391203</v>
      </c>
      <c r="K26" s="68">
        <v>0.12477759798085739</v>
      </c>
      <c r="L26" s="68">
        <v>0</v>
      </c>
    </row>
    <row r="27" spans="1:12" ht="12.75">
      <c r="A27" s="6" t="s">
        <v>53</v>
      </c>
      <c r="B27" s="21">
        <v>1.586466356946858</v>
      </c>
      <c r="C27" s="21">
        <v>0.20989543434578734</v>
      </c>
      <c r="D27" s="21">
        <v>0.7125501414113181</v>
      </c>
      <c r="E27" s="21">
        <v>0.08506077921530221</v>
      </c>
      <c r="F27" s="21">
        <v>0.09706166125887392</v>
      </c>
      <c r="G27" s="21">
        <v>0.02203842527469831</v>
      </c>
      <c r="H27" s="68">
        <v>0.06154929865810898</v>
      </c>
      <c r="I27" s="68">
        <v>0.9051602995162984</v>
      </c>
      <c r="J27" s="68">
        <v>0.9113554496902516</v>
      </c>
      <c r="K27" s="68">
        <v>2.040819061316373</v>
      </c>
      <c r="L27" s="68">
        <v>0.2306646932923117</v>
      </c>
    </row>
    <row r="28" spans="1:12" ht="12.75">
      <c r="A28" s="6" t="s">
        <v>54</v>
      </c>
      <c r="B28" s="21">
        <v>31.72932713893716</v>
      </c>
      <c r="C28" s="21">
        <v>0.20989543434578734</v>
      </c>
      <c r="D28" s="21">
        <v>0.7125501414113181</v>
      </c>
      <c r="E28" s="21">
        <v>0.8506077921530221</v>
      </c>
      <c r="F28" s="21">
        <v>0.4853083062943696</v>
      </c>
      <c r="G28" s="21">
        <v>0.11019212637349154</v>
      </c>
      <c r="H28" s="68">
        <v>1.0258216443018162</v>
      </c>
      <c r="I28" s="68">
        <v>15.086004991938307</v>
      </c>
      <c r="J28" s="68">
        <v>15.189257494837527</v>
      </c>
      <c r="K28" s="68">
        <v>10.204095306581864</v>
      </c>
      <c r="L28" s="68">
        <v>1.1533234664615586</v>
      </c>
    </row>
    <row r="29" spans="1:12" ht="12.75">
      <c r="A29" s="6" t="s">
        <v>55</v>
      </c>
      <c r="B29" s="21">
        <v>37.64291509754489</v>
      </c>
      <c r="C29" s="21">
        <v>4.504005093515876</v>
      </c>
      <c r="D29" s="21">
        <v>8.432759719159879</v>
      </c>
      <c r="E29" s="21">
        <v>56.46662425306646</v>
      </c>
      <c r="F29" s="21">
        <v>56.31100425634442</v>
      </c>
      <c r="G29" s="21">
        <v>31.674939894193734</v>
      </c>
      <c r="H29" s="68">
        <v>21.112655927059883</v>
      </c>
      <c r="I29" s="68">
        <v>158.20154333030098</v>
      </c>
      <c r="J29" s="68">
        <v>424.0387513641944</v>
      </c>
      <c r="K29" s="68">
        <v>303.023004414882</v>
      </c>
      <c r="L29" s="68">
        <v>134.67689085105866</v>
      </c>
    </row>
    <row r="30" spans="1:12" ht="12.75">
      <c r="A30" s="6" t="s">
        <v>56</v>
      </c>
      <c r="B30" s="21">
        <v>37.64291509754489</v>
      </c>
      <c r="C30" s="21">
        <v>4.504005093515876</v>
      </c>
      <c r="D30" s="21">
        <v>8.432759719159879</v>
      </c>
      <c r="E30" s="21">
        <v>56.587466421062906</v>
      </c>
      <c r="F30" s="21">
        <v>56.78557172749521</v>
      </c>
      <c r="G30" s="21">
        <v>31.751442762274536</v>
      </c>
      <c r="H30" s="68">
        <v>21.131476589773435</v>
      </c>
      <c r="I30" s="68">
        <v>166.57236762559975</v>
      </c>
      <c r="J30" s="68">
        <v>512.6485074690127</v>
      </c>
      <c r="K30" s="68">
        <v>352.25390656863544</v>
      </c>
      <c r="L30" s="68">
        <v>137.25955867300678</v>
      </c>
    </row>
    <row r="31" spans="1:12" ht="12.75">
      <c r="A31" s="13" t="s">
        <v>57</v>
      </c>
      <c r="B31" s="55">
        <v>41.94</v>
      </c>
      <c r="C31" s="55">
        <v>41.94</v>
      </c>
      <c r="D31" s="55">
        <v>41.94</v>
      </c>
      <c r="E31" s="55">
        <v>0.48745587200449547</v>
      </c>
      <c r="F31" s="55">
        <v>0.45585980737249276</v>
      </c>
      <c r="G31" s="55">
        <v>0.45585980737249276</v>
      </c>
      <c r="H31" s="68">
        <v>0.2908730957081785</v>
      </c>
      <c r="I31" s="68">
        <v>0.07750340306355995</v>
      </c>
      <c r="J31" s="68">
        <v>0.05538482974289927</v>
      </c>
      <c r="K31" s="68">
        <v>0.07750340306355995</v>
      </c>
      <c r="L31" s="68">
        <v>0.07750340306355995</v>
      </c>
    </row>
    <row r="32" spans="1:12" ht="12.75">
      <c r="A32" s="13" t="s">
        <v>58</v>
      </c>
      <c r="B32" s="55">
        <v>41.94</v>
      </c>
      <c r="C32" s="55">
        <v>41.94</v>
      </c>
      <c r="D32" s="55">
        <v>41.94</v>
      </c>
      <c r="E32" s="55">
        <v>0.48641491314732893</v>
      </c>
      <c r="F32" s="55">
        <v>0.45205010308665383</v>
      </c>
      <c r="G32" s="55">
        <v>0.45476144522977485</v>
      </c>
      <c r="H32" s="68">
        <v>0.2906140307818108</v>
      </c>
      <c r="I32" s="68">
        <v>0.07360859518767625</v>
      </c>
      <c r="J32" s="68">
        <v>0.045811728126638675</v>
      </c>
      <c r="K32" s="68">
        <v>0.06667155029584171</v>
      </c>
      <c r="L32" s="68">
        <v>0.07604510356792638</v>
      </c>
    </row>
    <row r="33" spans="1:12" ht="12.75">
      <c r="A33" s="14" t="s">
        <v>59</v>
      </c>
      <c r="B33" s="63">
        <v>3265160.042137766</v>
      </c>
      <c r="C33" s="63">
        <v>779507.5805036963</v>
      </c>
      <c r="D33" s="63">
        <v>1459408.7055970693</v>
      </c>
      <c r="E33" s="63">
        <v>1138551.95</v>
      </c>
      <c r="F33" s="63">
        <v>1592727.7777777778</v>
      </c>
      <c r="G33" s="63">
        <v>1194545.8333333335</v>
      </c>
      <c r="H33" s="68">
        <v>32070.337468529462</v>
      </c>
      <c r="I33" s="68">
        <v>64030.75090117708</v>
      </c>
      <c r="J33" s="68">
        <v>485726.8335529205</v>
      </c>
      <c r="K33" s="68">
        <v>485726.8335529205</v>
      </c>
      <c r="L33" s="68">
        <v>323817.88903528027</v>
      </c>
    </row>
    <row r="34" spans="1:12" ht="12.75">
      <c r="A34" s="6" t="s">
        <v>60</v>
      </c>
      <c r="B34" s="21">
        <v>0.016490819208692633</v>
      </c>
      <c r="C34" s="21">
        <v>0.015203739849543301</v>
      </c>
      <c r="D34" s="21">
        <v>0.01472384248770599</v>
      </c>
      <c r="E34" s="21">
        <v>0.016814584358868113</v>
      </c>
      <c r="F34" s="21">
        <v>0.0154287516999749</v>
      </c>
      <c r="G34" s="21">
        <v>0.01484677963990645</v>
      </c>
      <c r="H34" s="68">
        <v>0.030834092513112525</v>
      </c>
      <c r="I34" s="68">
        <v>0.029299710134432534</v>
      </c>
      <c r="J34" s="68">
        <v>0.01982967090606663</v>
      </c>
      <c r="K34" s="68">
        <v>0.01982967090606663</v>
      </c>
      <c r="L34" s="68">
        <v>0.018708223090124494</v>
      </c>
    </row>
    <row r="35" spans="1:12" ht="12.75">
      <c r="A35" s="15" t="s">
        <v>61</v>
      </c>
      <c r="B35" s="64">
        <v>243.7796567646661</v>
      </c>
      <c r="C35" s="64">
        <v>29.16843217158864</v>
      </c>
      <c r="D35" s="64">
        <v>54.61147906820252</v>
      </c>
      <c r="E35" s="64">
        <v>39.42389035053394</v>
      </c>
      <c r="F35" s="64">
        <v>38.01972086256063</v>
      </c>
      <c r="G35" s="64">
        <v>21.386092985190356</v>
      </c>
      <c r="H35" s="68">
        <v>11.386615259528497</v>
      </c>
      <c r="I35" s="68">
        <v>44.042412685241395</v>
      </c>
      <c r="J35" s="68">
        <v>99.79320239678484</v>
      </c>
      <c r="K35" s="68">
        <v>84.35988633624014</v>
      </c>
      <c r="L35" s="68">
        <v>37.49328281610673</v>
      </c>
    </row>
    <row r="36" spans="1:12" ht="12.75">
      <c r="A36" s="11" t="s">
        <v>101</v>
      </c>
      <c r="B36" s="65">
        <v>555.06</v>
      </c>
      <c r="C36" s="65">
        <v>555.06</v>
      </c>
      <c r="D36" s="65">
        <v>555.06</v>
      </c>
      <c r="E36" s="65">
        <v>553.8</v>
      </c>
      <c r="F36" s="65">
        <v>553.8</v>
      </c>
      <c r="G36" s="65">
        <v>553.8</v>
      </c>
      <c r="H36" s="68">
        <v>253</v>
      </c>
      <c r="I36" s="68">
        <v>253</v>
      </c>
      <c r="J36" s="68">
        <v>253</v>
      </c>
      <c r="K36" s="68">
        <v>253</v>
      </c>
      <c r="L36" s="68">
        <v>253</v>
      </c>
    </row>
    <row r="37" spans="1:12" ht="12.75">
      <c r="A37" s="11" t="s">
        <v>100</v>
      </c>
      <c r="B37" s="65">
        <v>555.06</v>
      </c>
      <c r="C37" s="65">
        <v>555.06</v>
      </c>
      <c r="D37" s="65">
        <v>555.06</v>
      </c>
      <c r="E37" s="65">
        <v>553.8</v>
      </c>
      <c r="F37" s="65">
        <v>553.8</v>
      </c>
      <c r="G37" s="65">
        <v>553.8</v>
      </c>
      <c r="H37" s="68">
        <v>253</v>
      </c>
      <c r="I37" s="68">
        <v>253</v>
      </c>
      <c r="J37" s="68">
        <v>253</v>
      </c>
      <c r="K37" s="68">
        <v>253</v>
      </c>
      <c r="L37" s="68">
        <v>253</v>
      </c>
    </row>
    <row r="38" spans="1:12" ht="12.75">
      <c r="A38" s="16" t="s">
        <v>108</v>
      </c>
      <c r="B38" s="57">
        <v>0</v>
      </c>
      <c r="C38" s="57">
        <v>0</v>
      </c>
      <c r="D38" s="57">
        <v>0</v>
      </c>
      <c r="E38" s="57">
        <v>616.5080916921048</v>
      </c>
      <c r="F38" s="57">
        <v>637.515550884971</v>
      </c>
      <c r="G38" s="57">
        <v>637.515550884971</v>
      </c>
      <c r="H38" s="68">
        <v>1214.9671316027443</v>
      </c>
      <c r="I38" s="68">
        <v>1214.9671316027443</v>
      </c>
      <c r="J38" s="68">
        <v>1215.1275438576808</v>
      </c>
      <c r="K38" s="68">
        <v>1214.9671316027443</v>
      </c>
      <c r="L38" s="68">
        <v>1214.9671316027443</v>
      </c>
    </row>
    <row r="39" spans="1:12" ht="12.75">
      <c r="A39" s="6" t="s">
        <v>109</v>
      </c>
      <c r="B39" s="48">
        <v>0</v>
      </c>
      <c r="C39" s="48">
        <v>0</v>
      </c>
      <c r="D39" s="48">
        <v>0</v>
      </c>
      <c r="E39" s="48">
        <v>616.5080916921048</v>
      </c>
      <c r="F39" s="48">
        <v>637.515550884971</v>
      </c>
      <c r="G39" s="48">
        <v>637.515550884971</v>
      </c>
      <c r="H39" s="68">
        <v>1214.9671316027443</v>
      </c>
      <c r="I39" s="68">
        <v>1214.9671316027443</v>
      </c>
      <c r="J39" s="68">
        <v>1215.1275438576808</v>
      </c>
      <c r="K39" s="68">
        <v>1214.9671316027443</v>
      </c>
      <c r="L39" s="68">
        <v>1214.9671316027443</v>
      </c>
    </row>
    <row r="40" spans="1:12" ht="12.75">
      <c r="A40" s="18" t="s">
        <v>55</v>
      </c>
      <c r="B40" s="48"/>
      <c r="C40" s="48"/>
      <c r="D40" s="48"/>
      <c r="E40" s="48"/>
      <c r="F40" s="48"/>
      <c r="G40" s="48"/>
      <c r="H40" s="68"/>
      <c r="I40" s="68"/>
      <c r="J40" s="68"/>
      <c r="K40" s="68"/>
      <c r="L40" s="68"/>
    </row>
    <row r="41" spans="1:12" ht="12.75">
      <c r="A41" s="6" t="s">
        <v>106</v>
      </c>
      <c r="B41" s="66">
        <v>29.41353364305314</v>
      </c>
      <c r="C41" s="66">
        <v>40.09181816875822</v>
      </c>
      <c r="D41" s="66">
        <v>40.32186246464717</v>
      </c>
      <c r="E41" s="66">
        <v>40.167734118729726</v>
      </c>
      <c r="F41" s="66">
        <v>40.1559984570084</v>
      </c>
      <c r="G41" s="66">
        <v>40.049358886787815</v>
      </c>
      <c r="H41" s="68">
        <v>92.71399238505519</v>
      </c>
      <c r="I41" s="68">
        <v>24.909336355435496</v>
      </c>
      <c r="J41" s="68">
        <v>18.72564853909612</v>
      </c>
      <c r="K41" s="68">
        <v>25.46802335463497</v>
      </c>
      <c r="L41" s="68">
        <v>24.85170831696493</v>
      </c>
    </row>
    <row r="42" spans="1:12" ht="12.75">
      <c r="A42" s="18" t="s">
        <v>107</v>
      </c>
      <c r="B42" s="67">
        <v>21.41353364305314</v>
      </c>
      <c r="C42" s="67">
        <v>39.514650059379555</v>
      </c>
      <c r="D42" s="67">
        <v>38.32186246464717</v>
      </c>
      <c r="E42" s="67">
        <v>40.08267333951442</v>
      </c>
      <c r="F42" s="67">
        <v>39.823025792190265</v>
      </c>
      <c r="G42" s="67">
        <v>39.95310091421324</v>
      </c>
      <c r="H42" s="68">
        <v>92.63144198468831</v>
      </c>
      <c r="I42" s="68">
        <v>23.67915438821438</v>
      </c>
      <c r="J42" s="68">
        <v>15.899327182156423</v>
      </c>
      <c r="K42" s="68">
        <v>22.140736233041807</v>
      </c>
      <c r="L42" s="68">
        <v>24.389863838270454</v>
      </c>
    </row>
    <row r="43" spans="2:12" s="69" customFormat="1" ht="12.75">
      <c r="B43" s="42" t="s">
        <v>104</v>
      </c>
      <c r="C43" s="42" t="s">
        <v>104</v>
      </c>
      <c r="D43" s="42" t="s">
        <v>104</v>
      </c>
      <c r="E43" s="42" t="s">
        <v>104</v>
      </c>
      <c r="F43" s="42" t="s">
        <v>104</v>
      </c>
      <c r="G43" s="42" t="s">
        <v>104</v>
      </c>
      <c r="H43" s="42" t="s">
        <v>104</v>
      </c>
      <c r="I43" s="42" t="s">
        <v>104</v>
      </c>
      <c r="J43" s="42" t="s">
        <v>104</v>
      </c>
      <c r="K43" s="42" t="s">
        <v>104</v>
      </c>
      <c r="L43" s="42" t="s">
        <v>104</v>
      </c>
    </row>
    <row r="44" spans="1:7" s="69" customFormat="1" ht="12.75">
      <c r="A44" s="70" t="s">
        <v>62</v>
      </c>
      <c r="B44" s="69">
        <f>B29^2*B31</f>
        <v>59428.52105229841</v>
      </c>
      <c r="C44" s="69">
        <f>C29^2*C31</f>
        <v>850.7974353485671</v>
      </c>
      <c r="E44" s="70"/>
      <c r="F44" s="70"/>
      <c r="G44" s="70"/>
    </row>
    <row r="45" spans="1:7" s="69" customFormat="1" ht="12.75">
      <c r="A45" s="70" t="s">
        <v>63</v>
      </c>
      <c r="B45" s="70"/>
      <c r="C45" s="70"/>
      <c r="E45" s="70"/>
      <c r="F45" s="70"/>
      <c r="G45" s="70"/>
    </row>
    <row r="46" spans="1:7" s="69" customFormat="1" ht="12.75">
      <c r="A46" s="70" t="s">
        <v>64</v>
      </c>
      <c r="B46" s="70"/>
      <c r="C46" s="70"/>
      <c r="E46" s="70"/>
      <c r="F46" s="70"/>
      <c r="G46" s="70"/>
    </row>
    <row r="47" spans="1:7" s="69" customFormat="1" ht="12.75">
      <c r="A47" s="70" t="s">
        <v>65</v>
      </c>
      <c r="B47" s="70"/>
      <c r="C47" s="70"/>
      <c r="E47" s="70"/>
      <c r="F47" s="70"/>
      <c r="G47" s="70"/>
    </row>
    <row r="48" spans="1:7" s="69" customFormat="1" ht="12.75">
      <c r="A48" s="70" t="s">
        <v>66</v>
      </c>
      <c r="B48" s="70"/>
      <c r="C48" s="70"/>
      <c r="E48" s="70"/>
      <c r="F48" s="70"/>
      <c r="G48" s="70"/>
    </row>
    <row r="49" spans="1:7" s="69" customFormat="1" ht="12.75">
      <c r="A49" s="70" t="s">
        <v>118</v>
      </c>
      <c r="B49" s="70"/>
      <c r="C49" s="70"/>
      <c r="E49" s="70"/>
      <c r="F49" s="70"/>
      <c r="G49" s="70"/>
    </row>
    <row r="50" spans="1:7" ht="12.75">
      <c r="A50" s="17" t="s">
        <v>67</v>
      </c>
      <c r="B50" s="17"/>
      <c r="C50" s="17"/>
      <c r="E50" s="17"/>
      <c r="F50" s="17"/>
      <c r="G50" s="17"/>
    </row>
    <row r="51" spans="1:7" ht="12.75">
      <c r="A51" s="17" t="s">
        <v>68</v>
      </c>
      <c r="B51" s="17"/>
      <c r="C51" s="17"/>
      <c r="E51" s="17"/>
      <c r="F51" s="17"/>
      <c r="G51" s="17"/>
    </row>
    <row r="52" spans="1:7" ht="12.75">
      <c r="A52" s="17" t="s">
        <v>69</v>
      </c>
      <c r="B52" s="17"/>
      <c r="C52" s="17"/>
      <c r="E52" s="17"/>
      <c r="F52" s="17"/>
      <c r="G52" s="17"/>
    </row>
    <row r="53" spans="1:7" ht="12.75">
      <c r="A53" s="17" t="s">
        <v>70</v>
      </c>
      <c r="B53" s="17"/>
      <c r="C53" s="17"/>
      <c r="E53" s="17"/>
      <c r="F53" s="17"/>
      <c r="G53" s="17"/>
    </row>
    <row r="54" spans="1:7" ht="12.75">
      <c r="A54" s="17" t="s">
        <v>71</v>
      </c>
      <c r="B54" s="17"/>
      <c r="C54" s="17"/>
      <c r="E54" s="17"/>
      <c r="F54" s="17"/>
      <c r="G54" s="17"/>
    </row>
    <row r="55" spans="1:7" ht="12.75">
      <c r="A55" s="17" t="s">
        <v>110</v>
      </c>
      <c r="B55" s="17"/>
      <c r="C55" s="17"/>
      <c r="E55" s="17"/>
      <c r="F55" s="17"/>
      <c r="G55" s="17"/>
    </row>
    <row r="56" spans="1:7" ht="12.75">
      <c r="A56" s="17" t="s">
        <v>111</v>
      </c>
      <c r="B56" s="17"/>
      <c r="C56" s="17"/>
      <c r="E56" s="17"/>
      <c r="F56" s="17"/>
      <c r="G56" s="17"/>
    </row>
    <row r="57" spans="1:7" ht="12.75">
      <c r="A57" s="17" t="s">
        <v>112</v>
      </c>
      <c r="B57" s="17"/>
      <c r="C57" s="17"/>
      <c r="E57" s="17"/>
      <c r="F57" s="17"/>
      <c r="G57" s="17"/>
    </row>
    <row r="58" spans="1:7" ht="12.75">
      <c r="A58" s="17" t="s">
        <v>72</v>
      </c>
      <c r="B58" s="17"/>
      <c r="C58" s="17"/>
      <c r="E58" s="17"/>
      <c r="F58" s="17"/>
      <c r="G58" s="17"/>
    </row>
    <row r="59" spans="1:7" ht="12.75">
      <c r="A59" s="17" t="s">
        <v>73</v>
      </c>
      <c r="B59" s="17"/>
      <c r="C59" s="17"/>
      <c r="E59" s="17"/>
      <c r="F59" s="17"/>
      <c r="G59" s="17"/>
    </row>
    <row r="60" spans="1:7" ht="12.75">
      <c r="A60" s="17" t="s">
        <v>74</v>
      </c>
      <c r="B60" s="17"/>
      <c r="C60" s="17"/>
      <c r="E60" s="17"/>
      <c r="F60" s="17"/>
      <c r="G60" s="17"/>
    </row>
    <row r="61" spans="1:7" ht="12.75">
      <c r="A61" s="17" t="s">
        <v>75</v>
      </c>
      <c r="B61" s="17"/>
      <c r="C61" s="17"/>
      <c r="E61" s="17"/>
      <c r="F61" s="17"/>
      <c r="G61" s="17"/>
    </row>
    <row r="62" spans="1:7" ht="12.75">
      <c r="A62" s="17" t="s">
        <v>76</v>
      </c>
      <c r="B62" s="17"/>
      <c r="C62" s="17"/>
      <c r="E62" s="17"/>
      <c r="F62" s="17"/>
      <c r="G62" s="17"/>
    </row>
    <row r="63" spans="1:7" ht="12.75">
      <c r="A63" s="17" t="s">
        <v>77</v>
      </c>
      <c r="B63" s="17"/>
      <c r="C63" s="17"/>
      <c r="E63" s="17"/>
      <c r="F63" s="17"/>
      <c r="G63" s="17"/>
    </row>
    <row r="64" spans="1:7" ht="12.75">
      <c r="A64" s="17" t="s">
        <v>78</v>
      </c>
      <c r="B64" s="17"/>
      <c r="C64" s="17"/>
      <c r="E64" s="17"/>
      <c r="F64" s="17"/>
      <c r="G64" s="17"/>
    </row>
    <row r="65" spans="1:7" ht="12.75">
      <c r="A65" s="17" t="s">
        <v>79</v>
      </c>
      <c r="B65" s="17"/>
      <c r="C65" s="17"/>
      <c r="E65" s="17"/>
      <c r="F65" s="17"/>
      <c r="G65" s="17"/>
    </row>
    <row r="66" spans="1:7" ht="12.75">
      <c r="A66" s="17" t="s">
        <v>80</v>
      </c>
      <c r="B66" s="17"/>
      <c r="C66" s="17"/>
      <c r="E66" s="17"/>
      <c r="F66" s="17"/>
      <c r="G66" s="17"/>
    </row>
    <row r="67" spans="1:7" ht="12.75">
      <c r="A67" s="17" t="s">
        <v>81</v>
      </c>
      <c r="B67" s="17"/>
      <c r="C67" s="17"/>
      <c r="E67" s="17"/>
      <c r="F67" s="17"/>
      <c r="G67" s="17"/>
    </row>
    <row r="68" spans="1:7" ht="12.75">
      <c r="A68" s="17"/>
      <c r="B68" s="17"/>
      <c r="C68" s="17"/>
      <c r="E68" s="17"/>
      <c r="F68" s="17"/>
      <c r="G68" s="17"/>
    </row>
    <row r="72" spans="1:7" ht="12.75">
      <c r="A72" s="17"/>
      <c r="B72" s="17"/>
      <c r="C72" s="17"/>
      <c r="E72" s="17"/>
      <c r="F72" s="17"/>
      <c r="G72" s="17"/>
    </row>
    <row r="73" spans="1:7" ht="12.75">
      <c r="A73" s="17"/>
      <c r="B73" s="17"/>
      <c r="C73" s="17"/>
      <c r="E73" s="17"/>
      <c r="F73" s="17"/>
      <c r="G73" s="17"/>
    </row>
    <row r="74" spans="1:7" ht="12.75">
      <c r="A74" s="17"/>
      <c r="B74" s="17"/>
      <c r="C74" s="17"/>
      <c r="E74" s="17"/>
      <c r="F74" s="17"/>
      <c r="G74" s="17"/>
    </row>
    <row r="75" spans="1:7" ht="12.75">
      <c r="A75" s="17"/>
      <c r="B75" s="17"/>
      <c r="C75" s="17"/>
      <c r="E75" s="17"/>
      <c r="F75" s="17"/>
      <c r="G75" s="17"/>
    </row>
    <row r="76" spans="1:7" ht="12.75">
      <c r="A76" s="17"/>
      <c r="B76" s="17"/>
      <c r="C76" s="17"/>
      <c r="E76" s="17"/>
      <c r="F76" s="17"/>
      <c r="G76" s="17"/>
    </row>
    <row r="77" spans="1:7" ht="12.75">
      <c r="A77" s="17"/>
      <c r="B77" s="17"/>
      <c r="C77" s="17"/>
      <c r="E77" s="17"/>
      <c r="F77" s="17"/>
      <c r="G77" s="17"/>
    </row>
    <row r="78" spans="1:7" ht="12.75">
      <c r="A78" s="17"/>
      <c r="B78" s="17"/>
      <c r="C78" s="17"/>
      <c r="E78" s="17"/>
      <c r="F78" s="17"/>
      <c r="G78" s="17"/>
    </row>
    <row r="79" spans="1:7" ht="12.75">
      <c r="A79" s="17"/>
      <c r="B79" s="17"/>
      <c r="C79" s="17"/>
      <c r="E79" s="17"/>
      <c r="F79" s="17"/>
      <c r="G79" s="17"/>
    </row>
    <row r="80" spans="1:7" ht="12.75">
      <c r="A80" s="17"/>
      <c r="B80" s="17"/>
      <c r="C80" s="17"/>
      <c r="E80" s="17"/>
      <c r="F80" s="17"/>
      <c r="G80" s="17"/>
    </row>
    <row r="81" spans="1:7" ht="12.75">
      <c r="A81" s="17"/>
      <c r="B81" s="17"/>
      <c r="C81" s="17"/>
      <c r="E81" s="17"/>
      <c r="F81" s="17"/>
      <c r="G81" s="17"/>
    </row>
    <row r="82" spans="1:7" ht="12.75">
      <c r="A82" s="17"/>
      <c r="B82" s="17"/>
      <c r="C82" s="17"/>
      <c r="E82" s="17"/>
      <c r="F82" s="17"/>
      <c r="G82" s="17"/>
    </row>
    <row r="83" spans="1:7" ht="12.75">
      <c r="A83" s="17"/>
      <c r="B83" s="17"/>
      <c r="C83" s="17"/>
      <c r="E83" s="17"/>
      <c r="F83" s="17"/>
      <c r="G83" s="17"/>
    </row>
    <row r="84" spans="1:7" ht="12.75">
      <c r="A84" s="17"/>
      <c r="B84" s="17"/>
      <c r="C84" s="17"/>
      <c r="E84" s="17"/>
      <c r="F84" s="17"/>
      <c r="G84" s="17"/>
    </row>
    <row r="85" spans="1:7" ht="12.75">
      <c r="A85" s="17"/>
      <c r="B85" s="17"/>
      <c r="C85" s="17"/>
      <c r="E85" s="17"/>
      <c r="F85" s="17"/>
      <c r="G85" s="17"/>
    </row>
    <row r="86" spans="1:7" ht="12.75">
      <c r="A86" s="17"/>
      <c r="B86" s="17"/>
      <c r="C86" s="17"/>
      <c r="E86" s="17"/>
      <c r="F86" s="17"/>
      <c r="G86" s="17"/>
    </row>
    <row r="87" spans="1:7" ht="12.75">
      <c r="A87" s="17"/>
      <c r="B87" s="17"/>
      <c r="C87" s="17"/>
      <c r="E87" s="17"/>
      <c r="F87" s="17"/>
      <c r="G87" s="17"/>
    </row>
    <row r="88" spans="1:7" ht="12.75">
      <c r="A88" s="17"/>
      <c r="B88" s="17"/>
      <c r="C88" s="17"/>
      <c r="E88" s="17"/>
      <c r="F88" s="17"/>
      <c r="G88" s="17"/>
    </row>
    <row r="89" spans="1:7" ht="12.75">
      <c r="A89" s="17"/>
      <c r="B89" s="17"/>
      <c r="C89" s="17"/>
      <c r="E89" s="17"/>
      <c r="F89" s="17"/>
      <c r="G89" s="17"/>
    </row>
    <row r="90" spans="1:7" ht="12.75">
      <c r="A90" s="17"/>
      <c r="B90" s="17"/>
      <c r="C90" s="17"/>
      <c r="E90" s="17"/>
      <c r="F90" s="17"/>
      <c r="G90" s="17"/>
    </row>
    <row r="91" spans="1:7" ht="12.75">
      <c r="A91" s="17"/>
      <c r="B91" s="17"/>
      <c r="C91" s="17"/>
      <c r="E91" s="17"/>
      <c r="F91" s="17"/>
      <c r="G91" s="17"/>
    </row>
    <row r="92" spans="1:7" ht="12.75">
      <c r="A92" s="17"/>
      <c r="B92" s="17"/>
      <c r="C92" s="17"/>
      <c r="E92" s="17"/>
      <c r="F92" s="17"/>
      <c r="G92" s="17"/>
    </row>
  </sheetData>
  <mergeCells count="1">
    <mergeCell ref="B1:C1"/>
  </mergeCells>
  <printOptions headings="1"/>
  <pageMargins left="0.75" right="0.75" top="1" bottom="1" header="0.5" footer="0.5"/>
  <pageSetup fitToHeight="1" fitToWidth="1" horizontalDpi="600" verticalDpi="600" orientation="landscape" scale="80" r:id="rId5"/>
  <headerFooter alignWithMargins="0">
    <oddFooter>&amp;REquipment_calc.xls
&amp;A
July 9, 1999</oddFooter>
  </headerFooter>
  <drawing r:id="rId4"/>
  <legacyDrawing r:id="rId3"/>
  <oleObjects>
    <oleObject progId="Word.Document.8" shapeId="108018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L100"/>
  <sheetViews>
    <sheetView workbookViewId="0" topLeftCell="A74">
      <selection activeCell="G77" sqref="G77"/>
    </sheetView>
  </sheetViews>
  <sheetFormatPr defaultColWidth="9.140625" defaultRowHeight="12.75"/>
  <cols>
    <col min="1" max="1" width="21.140625" style="0" customWidth="1"/>
    <col min="2" max="5" width="12.28125" style="0" customWidth="1"/>
    <col min="6" max="6" width="12.421875" style="0" customWidth="1"/>
    <col min="8" max="8" width="10.421875" style="0" customWidth="1"/>
  </cols>
  <sheetData>
    <row r="3" ht="12.75">
      <c r="A3" s="89" t="s">
        <v>167</v>
      </c>
    </row>
    <row r="4" spans="1:9" ht="12.75">
      <c r="A4" s="89" t="s">
        <v>25</v>
      </c>
      <c r="I4" s="89" t="s">
        <v>177</v>
      </c>
    </row>
    <row r="5" spans="8:12" ht="12.75">
      <c r="H5" s="1"/>
      <c r="I5" s="24" t="s">
        <v>82</v>
      </c>
      <c r="J5" s="41"/>
      <c r="K5" s="41"/>
      <c r="L5" s="41"/>
    </row>
    <row r="6" spans="1:12" ht="12.75">
      <c r="A6" t="s">
        <v>157</v>
      </c>
      <c r="B6" s="20">
        <v>6</v>
      </c>
      <c r="C6" s="20">
        <v>8</v>
      </c>
      <c r="D6" s="20">
        <v>8</v>
      </c>
      <c r="E6" s="20">
        <v>8</v>
      </c>
      <c r="F6" s="20">
        <v>10</v>
      </c>
      <c r="H6" s="1"/>
      <c r="I6" s="24" t="s">
        <v>168</v>
      </c>
      <c r="J6" s="24" t="s">
        <v>169</v>
      </c>
      <c r="K6" s="24" t="s">
        <v>168</v>
      </c>
      <c r="L6" s="24" t="s">
        <v>169</v>
      </c>
    </row>
    <row r="7" spans="1:12" ht="12.75">
      <c r="A7" t="s">
        <v>158</v>
      </c>
      <c r="B7" s="20">
        <v>4.2</v>
      </c>
      <c r="C7" s="20">
        <v>4.41</v>
      </c>
      <c r="D7" s="20">
        <v>4.7</v>
      </c>
      <c r="E7" s="20">
        <v>6</v>
      </c>
      <c r="F7" s="20">
        <v>7</v>
      </c>
      <c r="H7" t="s">
        <v>83</v>
      </c>
      <c r="I7" s="1">
        <v>420</v>
      </c>
      <c r="J7" s="1">
        <v>2333</v>
      </c>
      <c r="K7" s="1">
        <v>2333</v>
      </c>
      <c r="L7" s="1">
        <v>2333</v>
      </c>
    </row>
    <row r="8" spans="1:12" ht="12.75">
      <c r="A8" t="s">
        <v>159</v>
      </c>
      <c r="B8" s="20">
        <v>42</v>
      </c>
      <c r="C8" s="20">
        <v>62.4</v>
      </c>
      <c r="D8" s="20">
        <v>62.4</v>
      </c>
      <c r="E8" s="20">
        <v>62.4</v>
      </c>
      <c r="F8" s="20">
        <v>62.4</v>
      </c>
      <c r="H8" t="s">
        <v>170</v>
      </c>
      <c r="I8" s="1">
        <v>5</v>
      </c>
      <c r="J8" s="1">
        <v>23</v>
      </c>
      <c r="K8" s="1">
        <v>5</v>
      </c>
      <c r="L8" s="1">
        <v>65</v>
      </c>
    </row>
    <row r="9" spans="1:12" ht="12.75">
      <c r="A9" t="s">
        <v>117</v>
      </c>
      <c r="B9" s="23">
        <v>700</v>
      </c>
      <c r="C9" s="23">
        <v>2333</v>
      </c>
      <c r="D9" s="23">
        <v>2333</v>
      </c>
      <c r="E9" s="23">
        <v>2333</v>
      </c>
      <c r="F9" s="23">
        <v>2333</v>
      </c>
      <c r="H9" t="s">
        <v>84</v>
      </c>
      <c r="I9" s="1">
        <v>0.5</v>
      </c>
      <c r="J9" s="1">
        <v>0.5</v>
      </c>
      <c r="K9" s="1">
        <v>0.5</v>
      </c>
      <c r="L9" s="1">
        <v>0.5</v>
      </c>
    </row>
    <row r="10" spans="1:12" ht="12.75">
      <c r="A10" t="s">
        <v>160</v>
      </c>
      <c r="B10" s="20">
        <v>0.62</v>
      </c>
      <c r="C10" s="20">
        <v>0.62</v>
      </c>
      <c r="D10" s="20">
        <v>0.62</v>
      </c>
      <c r="E10" s="20">
        <v>0.62</v>
      </c>
      <c r="F10" s="20">
        <v>0.62</v>
      </c>
      <c r="H10" t="s">
        <v>85</v>
      </c>
      <c r="I10" s="90">
        <f>I7*SQRT(I9/I8)</f>
        <v>132.81566172707193</v>
      </c>
      <c r="J10" s="90">
        <f>J7*SQRT(J9/J8)</f>
        <v>343.982083709375</v>
      </c>
      <c r="K10" s="90">
        <f>K7*SQRT(K9/K8)</f>
        <v>737.759378117283</v>
      </c>
      <c r="L10" s="90">
        <f>L7*SQRT(L9/L8)</f>
        <v>204.61763590432992</v>
      </c>
    </row>
    <row r="11" spans="2:12" ht="12.75">
      <c r="B11" s="20"/>
      <c r="C11" s="20"/>
      <c r="D11" s="20"/>
      <c r="E11" s="20"/>
      <c r="F11" s="20"/>
      <c r="I11" s="1"/>
      <c r="J11" s="1"/>
      <c r="K11" s="1"/>
      <c r="L11" s="1"/>
    </row>
    <row r="12" spans="2:12" ht="12.75">
      <c r="B12" s="20"/>
      <c r="C12" s="20"/>
      <c r="D12" s="20"/>
      <c r="E12" s="20"/>
      <c r="F12" s="20"/>
      <c r="H12" t="s">
        <v>86</v>
      </c>
      <c r="I12" s="1">
        <v>8</v>
      </c>
      <c r="J12" s="1">
        <v>8</v>
      </c>
      <c r="K12" s="1">
        <v>6</v>
      </c>
      <c r="L12" s="1">
        <v>6</v>
      </c>
    </row>
    <row r="13" spans="1:6" ht="12.75">
      <c r="A13" t="s">
        <v>27</v>
      </c>
      <c r="B13" s="20"/>
      <c r="C13" s="20"/>
      <c r="D13" s="20"/>
      <c r="E13" s="20"/>
      <c r="F13" s="20"/>
    </row>
    <row r="14" spans="1:6" ht="12.75">
      <c r="A14" t="s">
        <v>37</v>
      </c>
      <c r="B14" s="23">
        <f>B9/42*1440</f>
        <v>24000</v>
      </c>
      <c r="C14" s="23">
        <f>C9/42*1440</f>
        <v>79988.57142857143</v>
      </c>
      <c r="D14" s="23">
        <f>D9/42*1440</f>
        <v>79988.57142857143</v>
      </c>
      <c r="E14" s="23">
        <f>E9/42*1440</f>
        <v>79988.57142857143</v>
      </c>
      <c r="F14" s="23">
        <f>F9/42*1440</f>
        <v>79988.57142857143</v>
      </c>
    </row>
    <row r="15" spans="1:6" ht="12.75">
      <c r="A15" t="s">
        <v>161</v>
      </c>
      <c r="B15" s="46">
        <f>B7/B6</f>
        <v>0.7000000000000001</v>
      </c>
      <c r="C15" s="46">
        <f>C7/C6</f>
        <v>0.55125</v>
      </c>
      <c r="D15" s="46">
        <f>D7/D6</f>
        <v>0.5875</v>
      </c>
      <c r="E15" s="46">
        <f>E7/E6</f>
        <v>0.75</v>
      </c>
      <c r="F15" s="46">
        <f>F7/F6</f>
        <v>0.7</v>
      </c>
    </row>
    <row r="16" spans="1:6" ht="12.75">
      <c r="A16" t="s">
        <v>162</v>
      </c>
      <c r="B16" s="23">
        <f>B8*(1-B15^4)*(B9/(44.75*B10*B7^2))^2</f>
        <v>65.28827513621286</v>
      </c>
      <c r="C16" s="23">
        <f>C8*(1-C15^4)*(C9/(44.75*C10*C7^2))^2</f>
        <v>1058.797692237724</v>
      </c>
      <c r="D16" s="23">
        <f>D8*(1-D15^4)*(D9/(44.75*D10*D7^2))^2</f>
        <v>796.4593186352491</v>
      </c>
      <c r="E16" s="23">
        <f>E8*(1-E15^4)*(E9/(44.75*E10*E7^2))^2</f>
        <v>232.7221341004274</v>
      </c>
      <c r="F16" s="23">
        <f>F8*(1-F15^4)*(F9/(44.75*F10*F7^2))^2</f>
        <v>139.63969559882017</v>
      </c>
    </row>
    <row r="17" spans="1:6" ht="12.75">
      <c r="A17" t="s">
        <v>164</v>
      </c>
      <c r="B17" s="20">
        <f>B16/27.74</f>
        <v>2.3535787720336288</v>
      </c>
      <c r="C17" s="20">
        <f>C16/27.74</f>
        <v>38.16862625226114</v>
      </c>
      <c r="D17" s="20">
        <f>D16/27.74</f>
        <v>28.711583224053683</v>
      </c>
      <c r="E17" s="20">
        <f>E16/27.74</f>
        <v>8.38940642034706</v>
      </c>
      <c r="F17" s="20">
        <f>F16/27.74</f>
        <v>5.033875111709452</v>
      </c>
    </row>
    <row r="18" spans="1:6" ht="12.75">
      <c r="A18" t="s">
        <v>165</v>
      </c>
      <c r="B18" s="20">
        <f>3.14*(B7/2)^2</f>
        <v>13.8474</v>
      </c>
      <c r="C18" s="20">
        <f>3.14*(C7/2)^2</f>
        <v>15.2667585</v>
      </c>
      <c r="D18" s="20">
        <f>3.14*(D7/2)^2</f>
        <v>17.340650000000004</v>
      </c>
      <c r="E18" s="20">
        <f>3.14*(E7/2)^2</f>
        <v>28.26</v>
      </c>
      <c r="F18" s="20">
        <f>3.14*(F7/2)^2</f>
        <v>38.465</v>
      </c>
    </row>
    <row r="19" spans="1:6" ht="12.75">
      <c r="A19" t="s">
        <v>166</v>
      </c>
      <c r="B19" s="20">
        <f>B9/7.481/60/(3.14*(B7/2)^2/144)</f>
        <v>16.217406004016162</v>
      </c>
      <c r="C19" s="20">
        <f>C9/7.481/60/(3.14*(C7/2)^2/144)</f>
        <v>49.02521309668896</v>
      </c>
      <c r="D19" s="20">
        <f>D9/7.481/60/(3.14*(D7/2)^2/144)</f>
        <v>43.16193964806321</v>
      </c>
      <c r="E19" s="20">
        <f>E9/7.481/60/(3.14*(E7/2)^2/144)</f>
        <v>26.48464574515879</v>
      </c>
      <c r="F19" s="20">
        <f>F9/7.481/60/(3.14*(F7/2)^2/144)</f>
        <v>19.458107078075844</v>
      </c>
    </row>
    <row r="23" ht="12.75">
      <c r="B23" s="45" t="s">
        <v>97</v>
      </c>
    </row>
    <row r="24" spans="1:6" ht="12.75">
      <c r="A24" s="44" t="s">
        <v>25</v>
      </c>
      <c r="B24" s="1" t="s">
        <v>116</v>
      </c>
      <c r="C24" s="1" t="s">
        <v>114</v>
      </c>
      <c r="D24" s="1" t="s">
        <v>115</v>
      </c>
      <c r="E24" s="1" t="s">
        <v>163</v>
      </c>
      <c r="F24" s="1" t="s">
        <v>171</v>
      </c>
    </row>
    <row r="25" spans="1:6" ht="12.75">
      <c r="A25" t="s">
        <v>29</v>
      </c>
      <c r="B25" s="52">
        <v>272961</v>
      </c>
      <c r="C25" s="52">
        <v>60000</v>
      </c>
      <c r="D25" s="52">
        <v>250000</v>
      </c>
      <c r="E25" s="52">
        <v>505051</v>
      </c>
      <c r="F25" s="52">
        <v>25801</v>
      </c>
    </row>
    <row r="26" spans="1:6" ht="12.75">
      <c r="A26" t="s">
        <v>93</v>
      </c>
      <c r="B26" s="1">
        <v>445.8</v>
      </c>
      <c r="C26" s="1">
        <v>210</v>
      </c>
      <c r="D26" s="1">
        <v>210</v>
      </c>
      <c r="E26" s="1">
        <v>591</v>
      </c>
      <c r="F26" s="1">
        <v>210</v>
      </c>
    </row>
    <row r="27" spans="1:6" ht="12.75">
      <c r="A27" t="s">
        <v>28</v>
      </c>
      <c r="B27" s="1">
        <v>1</v>
      </c>
      <c r="C27" s="1">
        <v>1</v>
      </c>
      <c r="D27" s="1">
        <v>1</v>
      </c>
      <c r="E27" s="1">
        <v>0.65</v>
      </c>
      <c r="F27" s="1">
        <v>1</v>
      </c>
    </row>
    <row r="28" spans="1:6" ht="12.75">
      <c r="A28" t="s">
        <v>12</v>
      </c>
      <c r="B28" s="1">
        <v>1.3</v>
      </c>
      <c r="C28" s="1">
        <v>1.25</v>
      </c>
      <c r="D28" s="1">
        <v>1.25</v>
      </c>
      <c r="E28" s="1">
        <v>1.25</v>
      </c>
      <c r="F28" s="1">
        <v>1.25</v>
      </c>
    </row>
    <row r="29" spans="1:6" ht="12.75">
      <c r="A29" t="s">
        <v>26</v>
      </c>
      <c r="B29" s="1">
        <v>28.964</v>
      </c>
      <c r="C29" s="1">
        <v>23</v>
      </c>
      <c r="D29" s="1">
        <v>23</v>
      </c>
      <c r="E29" s="1">
        <v>23</v>
      </c>
      <c r="F29" s="1">
        <v>23</v>
      </c>
    </row>
    <row r="30" spans="1:6" ht="12.75">
      <c r="A30" t="s">
        <v>10</v>
      </c>
      <c r="B30" s="1">
        <v>1</v>
      </c>
      <c r="C30" s="1">
        <v>0.95</v>
      </c>
      <c r="D30" s="1">
        <v>0.95</v>
      </c>
      <c r="E30" s="1">
        <v>0.95</v>
      </c>
      <c r="F30" s="1">
        <v>0.95</v>
      </c>
    </row>
    <row r="31" spans="1:6" ht="12.75">
      <c r="A31" t="s">
        <v>90</v>
      </c>
      <c r="B31" s="1">
        <v>60</v>
      </c>
      <c r="C31" s="1">
        <v>160</v>
      </c>
      <c r="D31" s="1">
        <v>160</v>
      </c>
      <c r="E31" s="1">
        <v>160</v>
      </c>
      <c r="F31" s="1">
        <v>160</v>
      </c>
    </row>
    <row r="32" spans="1:6" ht="12.75">
      <c r="A32" s="44" t="s">
        <v>27</v>
      </c>
      <c r="B32" s="1"/>
      <c r="C32" s="1"/>
      <c r="D32" s="1"/>
      <c r="E32" s="1"/>
      <c r="F32" s="1"/>
    </row>
    <row r="33" spans="1:6" ht="12.75">
      <c r="A33" t="s">
        <v>91</v>
      </c>
      <c r="B33" s="1">
        <f>B31+459.7</f>
        <v>519.7</v>
      </c>
      <c r="C33" s="1">
        <f>C31+459.7</f>
        <v>619.7</v>
      </c>
      <c r="D33" s="1">
        <f>D31+459.7</f>
        <v>619.7</v>
      </c>
      <c r="E33" s="1">
        <f>E31+459.7</f>
        <v>619.7</v>
      </c>
      <c r="F33" s="1">
        <f>F31+459.7</f>
        <v>619.7</v>
      </c>
    </row>
    <row r="34" spans="1:6" ht="12.75">
      <c r="A34" t="s">
        <v>30</v>
      </c>
      <c r="B34" s="1">
        <f>B26*1.1+14.7</f>
        <v>505.08000000000004</v>
      </c>
      <c r="C34" s="1">
        <f>C26*1.1+14.7</f>
        <v>245.70000000000002</v>
      </c>
      <c r="D34" s="1">
        <f>D26*1.1+14.7</f>
        <v>245.70000000000002</v>
      </c>
      <c r="E34" s="1">
        <f>E26*1.1+14.7</f>
        <v>664.8000000000001</v>
      </c>
      <c r="F34" s="1">
        <f>F26*1.1+14.7</f>
        <v>245.70000000000002</v>
      </c>
    </row>
    <row r="35" spans="1:6" ht="12.75">
      <c r="A35" t="s">
        <v>32</v>
      </c>
      <c r="B35" s="53">
        <f>B25/(B36*B34*B27*SQRT(B29/(B30*B33)))</f>
        <v>6.604355229479472</v>
      </c>
      <c r="C35" s="53">
        <f>C25/(C36*C34*C27*SQRT(C29/(C30*C33)))</f>
        <v>3.614145224612304</v>
      </c>
      <c r="D35" s="53">
        <f>D25/(D36*D34*D27*SQRT(D29/(D30*D33)))</f>
        <v>15.058938435884599</v>
      </c>
      <c r="E35" s="53">
        <f>E25/(E36*E34*E27*SQRT(E29/(E30*E33)))</f>
        <v>17.297780169922852</v>
      </c>
      <c r="F35" s="53">
        <f>F25/(F36*F34*F27*SQRT(F29/(F30*F33)))</f>
        <v>1.5541426823370341</v>
      </c>
    </row>
    <row r="36" spans="1:6" ht="12.75">
      <c r="A36" t="s">
        <v>33</v>
      </c>
      <c r="B36" s="54">
        <f>519.47*SQRT(B28*(2/(B28+1))^((B28+1)/(B28-1)))</f>
        <v>346.6227735990905</v>
      </c>
      <c r="C36" s="54">
        <f>519.47*SQRT(C28*(2/(C28+1))^((C28+1)/(C28-1)))</f>
        <v>341.8449173712812</v>
      </c>
      <c r="D36" s="54">
        <f>519.47*SQRT(D28*(2/(D28+1))^((D28+1)/(D28-1)))</f>
        <v>341.8449173712812</v>
      </c>
      <c r="E36" s="54">
        <f>519.47*SQRT(E28*(2/(E28+1))^((E28+1)/(E28-1)))</f>
        <v>341.8449173712812</v>
      </c>
      <c r="F36" s="54">
        <f>519.47*SQRT(F28*(2/(F28+1))^((F28+1)/(F28-1)))</f>
        <v>341.8449173712812</v>
      </c>
    </row>
    <row r="37" spans="1:5" ht="12.75">
      <c r="A37" t="s">
        <v>24</v>
      </c>
      <c r="E37">
        <f>E25/E29*379.5*24/1000000</f>
        <v>200.00019600000002</v>
      </c>
    </row>
    <row r="38" ht="12.75">
      <c r="B38" s="45" t="s">
        <v>92</v>
      </c>
    </row>
    <row r="39" ht="12.75">
      <c r="A39" s="44" t="s">
        <v>25</v>
      </c>
    </row>
    <row r="40" spans="1:3" ht="12.75">
      <c r="A40" t="s">
        <v>42</v>
      </c>
      <c r="B40">
        <v>2333</v>
      </c>
      <c r="C40">
        <v>1100</v>
      </c>
    </row>
    <row r="41" spans="1:3" ht="12.75">
      <c r="A41" t="s">
        <v>93</v>
      </c>
      <c r="B41">
        <v>100</v>
      </c>
      <c r="C41">
        <v>97</v>
      </c>
    </row>
    <row r="42" spans="1:3" ht="12.75">
      <c r="A42" t="s">
        <v>28</v>
      </c>
      <c r="B42">
        <v>0.62</v>
      </c>
      <c r="C42">
        <v>0.62</v>
      </c>
    </row>
    <row r="43" spans="1:3" ht="12.75">
      <c r="A43" t="s">
        <v>95</v>
      </c>
      <c r="B43">
        <v>1</v>
      </c>
      <c r="C43">
        <v>0.662</v>
      </c>
    </row>
    <row r="44" spans="1:3" ht="12.75">
      <c r="A44" t="s">
        <v>96</v>
      </c>
      <c r="B44">
        <v>75</v>
      </c>
      <c r="C44">
        <v>85</v>
      </c>
    </row>
    <row r="45" ht="12.75">
      <c r="A45" s="44" t="s">
        <v>27</v>
      </c>
    </row>
    <row r="46" spans="1:3" ht="12.75">
      <c r="A46" t="s">
        <v>94</v>
      </c>
      <c r="B46">
        <f>B41*1.1+14.7</f>
        <v>124.70000000000002</v>
      </c>
      <c r="C46">
        <f>C41*1.1+14.7</f>
        <v>121.4</v>
      </c>
    </row>
    <row r="47" spans="1:3" ht="12.75">
      <c r="A47" t="s">
        <v>28</v>
      </c>
      <c r="B47">
        <v>0.62</v>
      </c>
      <c r="C47">
        <v>0.62</v>
      </c>
    </row>
    <row r="48" spans="1:3" ht="12.75">
      <c r="A48" t="s">
        <v>32</v>
      </c>
      <c r="B48" s="46">
        <f>B40/(38*B47*SQRT(B49/B50))</f>
        <v>14.04627795834087</v>
      </c>
      <c r="C48" s="20">
        <f>C40/(38*C47*SQRT(C49/C50))</f>
        <v>6.296449172939232</v>
      </c>
    </row>
    <row r="49" spans="1:3" ht="12.75">
      <c r="A49" t="s">
        <v>88</v>
      </c>
      <c r="B49">
        <f>B46-B44</f>
        <v>49.70000000000002</v>
      </c>
      <c r="C49">
        <f>C46-C44</f>
        <v>36.400000000000006</v>
      </c>
    </row>
    <row r="50" spans="1:3" ht="12.75">
      <c r="A50" t="s">
        <v>95</v>
      </c>
      <c r="B50">
        <f>B43</f>
        <v>1</v>
      </c>
      <c r="C50">
        <f>C43</f>
        <v>0.662</v>
      </c>
    </row>
    <row r="54" ht="12.75">
      <c r="A54" s="89" t="s">
        <v>172</v>
      </c>
    </row>
    <row r="55" spans="1:3" ht="12.75">
      <c r="A55" s="89" t="s">
        <v>25</v>
      </c>
      <c r="B55" t="s">
        <v>193</v>
      </c>
      <c r="C55" t="s">
        <v>194</v>
      </c>
    </row>
    <row r="56" spans="1:6" ht="12.75">
      <c r="A56" t="s">
        <v>173</v>
      </c>
      <c r="B56" s="52">
        <v>52.43</v>
      </c>
      <c r="C56" s="52">
        <v>31.9</v>
      </c>
      <c r="D56" s="52">
        <v>539</v>
      </c>
      <c r="E56" s="52">
        <v>338</v>
      </c>
      <c r="F56" s="52">
        <v>239</v>
      </c>
    </row>
    <row r="57" spans="1:6" ht="12.75">
      <c r="A57" t="s">
        <v>174</v>
      </c>
      <c r="B57" s="52">
        <v>3</v>
      </c>
      <c r="C57" s="52">
        <v>3</v>
      </c>
      <c r="D57" s="52">
        <v>4</v>
      </c>
      <c r="E57" s="52">
        <v>3</v>
      </c>
      <c r="F57" s="52">
        <v>8</v>
      </c>
    </row>
    <row r="58" spans="2:6" ht="12.75">
      <c r="B58" s="52"/>
      <c r="C58" s="52"/>
      <c r="D58" s="52"/>
      <c r="E58" s="52"/>
      <c r="F58" s="52"/>
    </row>
    <row r="59" spans="1:6" ht="12.75">
      <c r="A59" s="89" t="s">
        <v>27</v>
      </c>
      <c r="B59" s="52"/>
      <c r="C59" s="52"/>
      <c r="D59" s="52"/>
      <c r="E59" s="52"/>
      <c r="F59" s="52"/>
    </row>
    <row r="60" spans="1:6" ht="12.75">
      <c r="A60" t="s">
        <v>9</v>
      </c>
      <c r="B60" s="52">
        <f>(29.9*B57^2/B56)^2</f>
        <v>26.343148502518215</v>
      </c>
      <c r="C60" s="52">
        <f>(29.9*C57^2/C56)^2</f>
        <v>71.16165328563987</v>
      </c>
      <c r="D60" s="52">
        <f>(29.9*D57^2/D56)^2</f>
        <v>0.7877797474192916</v>
      </c>
      <c r="E60" s="52">
        <f>(29.9*E57^2/E56)^2</f>
        <v>0.633860946745562</v>
      </c>
      <c r="F60" s="52">
        <f>(29.9*F57^2/F56)^2</f>
        <v>64.10715778785384</v>
      </c>
    </row>
    <row r="61" ht="12.75">
      <c r="B61" s="52"/>
    </row>
    <row r="62" spans="1:2" ht="12.75">
      <c r="A62" s="89" t="s">
        <v>175</v>
      </c>
      <c r="B62" s="52"/>
    </row>
    <row r="63" spans="1:2" ht="12.75">
      <c r="A63" s="89" t="s">
        <v>25</v>
      </c>
      <c r="B63" s="52"/>
    </row>
    <row r="64" spans="1:2" ht="12.75">
      <c r="A64" t="s">
        <v>176</v>
      </c>
      <c r="B64" s="52">
        <v>100</v>
      </c>
    </row>
    <row r="65" spans="1:2" ht="12.75">
      <c r="A65" t="s">
        <v>174</v>
      </c>
      <c r="B65" s="52">
        <v>8</v>
      </c>
    </row>
    <row r="66" spans="1:2" ht="12.75">
      <c r="A66" s="89" t="s">
        <v>27</v>
      </c>
      <c r="B66" s="52"/>
    </row>
    <row r="67" spans="1:2" ht="12.75">
      <c r="A67" t="s">
        <v>85</v>
      </c>
      <c r="B67" s="52">
        <f>29.9*B65^2/SQRT(B64)</f>
        <v>191.35999999999999</v>
      </c>
    </row>
    <row r="70" ht="12.75">
      <c r="A70" s="45" t="s">
        <v>178</v>
      </c>
    </row>
    <row r="71" ht="12.75">
      <c r="A71" s="45" t="s">
        <v>179</v>
      </c>
    </row>
    <row r="72" ht="12.75">
      <c r="A72" s="91" t="s">
        <v>25</v>
      </c>
    </row>
    <row r="73" spans="1:4" ht="12.75">
      <c r="A73" t="s">
        <v>180</v>
      </c>
      <c r="B73">
        <v>20</v>
      </c>
      <c r="C73">
        <v>0.79</v>
      </c>
      <c r="D73">
        <v>0.63</v>
      </c>
    </row>
    <row r="74" spans="1:4" ht="12.75">
      <c r="A74" t="s">
        <v>181</v>
      </c>
      <c r="B74">
        <v>8</v>
      </c>
      <c r="C74">
        <v>4</v>
      </c>
      <c r="D74">
        <v>3</v>
      </c>
    </row>
    <row r="75" spans="1:4" ht="12.75">
      <c r="A75" t="s">
        <v>183</v>
      </c>
      <c r="B75">
        <v>4</v>
      </c>
      <c r="C75">
        <v>8</v>
      </c>
      <c r="D75">
        <v>8</v>
      </c>
    </row>
    <row r="76" ht="12.75">
      <c r="A76" s="91" t="s">
        <v>27</v>
      </c>
    </row>
    <row r="77" spans="1:4" ht="12.75">
      <c r="A77" t="s">
        <v>182</v>
      </c>
      <c r="B77">
        <f>B73*(B75/B74)^4</f>
        <v>1.25</v>
      </c>
      <c r="C77">
        <f>C73*(C75/C74)^4</f>
        <v>12.64</v>
      </c>
      <c r="D77" s="20">
        <f>D73*(D75/D74)^4</f>
        <v>31.857777777777777</v>
      </c>
    </row>
    <row r="81" spans="1:5" ht="12.75">
      <c r="A81" s="45" t="s">
        <v>184</v>
      </c>
      <c r="D81" s="99" t="s">
        <v>192</v>
      </c>
      <c r="E81" s="99"/>
    </row>
    <row r="82" spans="1:5" ht="12.75">
      <c r="A82" s="42" t="s">
        <v>25</v>
      </c>
      <c r="D82" s="1" t="s">
        <v>189</v>
      </c>
      <c r="E82" s="1" t="s">
        <v>189</v>
      </c>
    </row>
    <row r="83" spans="4:5" ht="18" customHeight="1">
      <c r="D83" s="1" t="s">
        <v>190</v>
      </c>
      <c r="E83" s="1" t="s">
        <v>191</v>
      </c>
    </row>
    <row r="84" spans="1:6" ht="12.75">
      <c r="A84" t="s">
        <v>36</v>
      </c>
      <c r="B84">
        <v>670</v>
      </c>
      <c r="C84">
        <v>670</v>
      </c>
      <c r="D84">
        <v>215</v>
      </c>
      <c r="E84">
        <v>24.7</v>
      </c>
      <c r="F84">
        <v>24.7</v>
      </c>
    </row>
    <row r="85" spans="1:6" ht="12.75">
      <c r="A85" t="s">
        <v>103</v>
      </c>
      <c r="B85">
        <v>230</v>
      </c>
      <c r="C85">
        <v>230</v>
      </c>
      <c r="D85">
        <v>180</v>
      </c>
      <c r="E85">
        <v>24.3</v>
      </c>
      <c r="F85">
        <v>22</v>
      </c>
    </row>
    <row r="86" spans="1:6" ht="12.75">
      <c r="A86" t="s">
        <v>87</v>
      </c>
      <c r="B86">
        <v>35.3</v>
      </c>
      <c r="C86">
        <v>35.3</v>
      </c>
      <c r="D86">
        <v>33.3</v>
      </c>
      <c r="E86">
        <v>21.3</v>
      </c>
      <c r="F86">
        <v>29.1</v>
      </c>
    </row>
    <row r="87" spans="1:6" ht="12.75">
      <c r="A87" t="s">
        <v>155</v>
      </c>
      <c r="B87">
        <v>13900</v>
      </c>
      <c r="C87">
        <v>7580</v>
      </c>
      <c r="D87">
        <v>8370</v>
      </c>
      <c r="E87">
        <v>2720</v>
      </c>
      <c r="F87">
        <v>1580</v>
      </c>
    </row>
    <row r="88" spans="1:6" ht="12.75">
      <c r="A88" t="s">
        <v>185</v>
      </c>
      <c r="B88">
        <v>567</v>
      </c>
      <c r="C88">
        <v>191</v>
      </c>
      <c r="D88">
        <v>251</v>
      </c>
      <c r="E88">
        <v>125</v>
      </c>
      <c r="F88">
        <v>54.2</v>
      </c>
    </row>
    <row r="89" spans="1:6" ht="12.75">
      <c r="A89" t="s">
        <v>84</v>
      </c>
      <c r="B89">
        <v>0.8</v>
      </c>
      <c r="C89">
        <v>0.8</v>
      </c>
      <c r="D89">
        <v>0.8</v>
      </c>
      <c r="E89">
        <v>0.834</v>
      </c>
      <c r="F89">
        <v>0.834</v>
      </c>
    </row>
    <row r="90" spans="1:6" ht="12.75">
      <c r="A90" t="s">
        <v>31</v>
      </c>
      <c r="B90">
        <v>520</v>
      </c>
      <c r="C90">
        <v>520</v>
      </c>
      <c r="D90">
        <v>520</v>
      </c>
      <c r="E90">
        <v>600</v>
      </c>
      <c r="F90">
        <v>600</v>
      </c>
    </row>
    <row r="91" ht="12.75">
      <c r="A91" s="42" t="s">
        <v>27</v>
      </c>
    </row>
    <row r="92" spans="1:6" ht="12.75">
      <c r="A92" t="s">
        <v>188</v>
      </c>
      <c r="B92" s="20">
        <f>(3417/B86)*SQRT((B84-B85)/B84)</f>
        <v>78.4439059473552</v>
      </c>
      <c r="C92" s="20">
        <f>(3417/C86)*SQRT((C84-C85)/C84)</f>
        <v>78.4439059473552</v>
      </c>
      <c r="D92" s="20"/>
      <c r="E92" s="20">
        <f>(3417/E86)*SQRT((E84-E85)/E84)</f>
        <v>20.414882958574918</v>
      </c>
      <c r="F92" s="20">
        <f>(3417/F86)*SQRT((F84-F85)/F84)</f>
        <v>38.822669544626194</v>
      </c>
    </row>
    <row r="93" spans="1:6" ht="12.75">
      <c r="A93" t="s">
        <v>187</v>
      </c>
      <c r="B93" s="20">
        <f>(3417/B86)*SQRT((B84-B85)/B84)*PI()/180</f>
        <v>1.36910443690611</v>
      </c>
      <c r="C93" s="20">
        <f>(3417/C86)*SQRT((C84-C85)/C84)*PI()/180</f>
        <v>1.36910443690611</v>
      </c>
      <c r="D93" s="20"/>
      <c r="E93" s="20">
        <f>(3417/E86)*SQRT((E84-E85)/E84)*PI()/180</f>
        <v>0.35630692403641345</v>
      </c>
      <c r="F93" s="20">
        <f>(3417/F86)*SQRT((F84-F85)/F84)*PI()/180</f>
        <v>0.6775834079674548</v>
      </c>
    </row>
    <row r="94" spans="1:6" ht="12.75">
      <c r="A94" t="s">
        <v>186</v>
      </c>
      <c r="B94" s="43">
        <f>24*B87*B84*SIN(B93)*SQRT(520/(B89*B90))/1000000</f>
        <v>244.82842351641608</v>
      </c>
      <c r="C94" s="43">
        <f>24*C87*C84*SIN(C93)*SQRT(520/(C89*C90))/1000000</f>
        <v>133.51075181686574</v>
      </c>
      <c r="D94" s="43"/>
      <c r="E94" s="43">
        <f>24*E87*E84*SIN(E93)*SQRT(520/(E89*E90))/1000000</f>
        <v>0.5733448241881425</v>
      </c>
      <c r="F94" s="43">
        <f>24*F87*F84*SIN(F93)*SQRT(520/(F89*F90))/1000000</f>
        <v>0.5985700255447517</v>
      </c>
    </row>
    <row r="95" spans="1:5" ht="12.75">
      <c r="A95" t="s">
        <v>42</v>
      </c>
      <c r="B95" s="20">
        <f>B88*SQRT((B84-B85)/1)</f>
        <v>11893.492338249518</v>
      </c>
      <c r="C95" s="20">
        <f>C88*SQRT((C84-C85)/1)</f>
        <v>4006.449800009979</v>
      </c>
      <c r="D95" s="20">
        <f>D88*SQRT((D84-D85)/1)</f>
        <v>1484.9360255580036</v>
      </c>
      <c r="E95" s="20"/>
    </row>
    <row r="96" spans="1:5" ht="12.75">
      <c r="A96" t="s">
        <v>37</v>
      </c>
      <c r="B96" s="43">
        <f>B95*1440/42</f>
        <v>407776.88016855484</v>
      </c>
      <c r="C96" s="43">
        <f>C95*1440/42</f>
        <v>137363.99314319927</v>
      </c>
      <c r="D96" s="43">
        <f>D95*1440/42</f>
        <v>50912.09230484584</v>
      </c>
      <c r="E96" s="43"/>
    </row>
    <row r="97" ht="12.75">
      <c r="C97" t="s">
        <v>89</v>
      </c>
    </row>
    <row r="98" spans="1:6" ht="12.75">
      <c r="A98" t="s">
        <v>29</v>
      </c>
      <c r="E98">
        <f>28.964*E89*E94*1000000/(379.5*24)</f>
        <v>1520.6086751002401</v>
      </c>
      <c r="F98">
        <f>28.964*F89*F94*1000000/(379.5*24)</f>
        <v>1587.5102296199393</v>
      </c>
    </row>
    <row r="100" ht="12.75">
      <c r="B100" t="s">
        <v>89</v>
      </c>
    </row>
  </sheetData>
  <mergeCells count="1">
    <mergeCell ref="D81:E81"/>
  </mergeCells>
  <printOptions/>
  <pageMargins left="0.75" right="0.75" top="1" bottom="1" header="0.5" footer="0.5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Tosco Refining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rjentz</dc:creator>
  <cp:keywords/>
  <dc:description/>
  <cp:lastModifiedBy>Robin Jentz</cp:lastModifiedBy>
  <cp:lastPrinted>2006-06-26T20:47:39Z</cp:lastPrinted>
  <dcterms:created xsi:type="dcterms:W3CDTF">1999-06-28T16:57:59Z</dcterms:created>
  <dcterms:modified xsi:type="dcterms:W3CDTF">2007-03-05T00:55:59Z</dcterms:modified>
  <cp:category/>
  <cp:version/>
  <cp:contentType/>
  <cp:contentStatus/>
</cp:coreProperties>
</file>